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defaultThemeVersion="124226"/>
  <mc:AlternateContent xmlns:mc="http://schemas.openxmlformats.org/markup-compatibility/2006">
    <mc:Choice Requires="x15">
      <x15ac:absPath xmlns:x15ac="http://schemas.microsoft.com/office/spreadsheetml/2010/11/ac" url="S:\Allocations\Grant allocations\2019-20\Teaching\Grant tables\Outputs\July 2020\Sector\"/>
    </mc:Choice>
  </mc:AlternateContent>
  <xr:revisionPtr revIDLastSave="0" documentId="13_ncr:1_{739ED104-8910-44C0-952E-3D7F6BA0E088}" xr6:coauthVersionLast="45" xr6:coauthVersionMax="45" xr10:uidLastSave="{00000000-0000-0000-0000-000000000000}"/>
  <bookViews>
    <workbookView xWindow="33720" yWindow="-120" windowWidth="15600" windowHeight="11160" tabRatio="769" xr2:uid="{00000000-000D-0000-FFFF-FFFF00000000}"/>
  </bookViews>
  <sheets>
    <sheet name="Information" sheetId="79" r:id="rId1"/>
    <sheet name="A Summary" sheetId="77" r:id="rId2"/>
    <sheet name="B High-cost" sheetId="22" r:id="rId3"/>
    <sheet name="C Student premium" sheetId="30" r:id="rId4"/>
    <sheet name="D Erasmus+" sheetId="78" r:id="rId5"/>
    <sheet name="E NMAH supplement" sheetId="80" r:id="rId6"/>
    <sheet name="F Very high-cost STEM subjects" sheetId="94" r:id="rId7"/>
    <sheet name="G Other TAs" sheetId="43" r:id="rId8"/>
    <sheet name="H Parameters" sheetId="17" r:id="rId9"/>
  </sheets>
  <definedNames>
    <definedName name="A_datacols1">'A Summary'!$C$31</definedName>
    <definedName name="A_datacols2">'A Summary'!$E$31</definedName>
    <definedName name="A_hidecols">'A Summary'!$C$32</definedName>
    <definedName name="A_rowtags1">'A Summary'!$H$5</definedName>
    <definedName name="A_rowtags2">'A Summary'!$H$7:$H$22</definedName>
    <definedName name="A_rowtags3">'A Summary'!$J$26:$J$29</definedName>
    <definedName name="A_rowvars">'A Summary'!$H$4</definedName>
    <definedName name="ACCL_TA">'G Other TAs'!$M$4</definedName>
    <definedName name="B_datacols1">'B High-cost'!$D$56:$K$56</definedName>
    <definedName name="B_datacols2">'B High-cost'!$M$56:$P$56</definedName>
    <definedName name="B_rowtags">'B High-cost'!$R$5:$T$46</definedName>
    <definedName name="B_rowvars">'B High-cost'!$R$4:$T$4</definedName>
    <definedName name="C_datacols">'C Student premium'!$E$80</definedName>
    <definedName name="C_rowtags1">'C Student premium'!$H$6:$H$13</definedName>
    <definedName name="C_rowtags11">'C Student premium'!$H$54:$H$56</definedName>
    <definedName name="C_rowtags12">'C Student premium'!$H$62:$H$63</definedName>
    <definedName name="C_rowtags13">'C Student premium'!$H$65:$H$68</definedName>
    <definedName name="C_rowtags15">'C Student premium'!$H$70:$H$71</definedName>
    <definedName name="C_rowtags16">'C Student premium'!$H$73:$H$75</definedName>
    <definedName name="C_rowtags2">'C Student premium'!$H$15:$H$18</definedName>
    <definedName name="C_rowtags4">'C Student premium'!$H$20:$H$23</definedName>
    <definedName name="C_rowtags5">'C Student premium'!$H$29:$H$36</definedName>
    <definedName name="C_rowtags6">'C Student premium'!$H$38:$H$42</definedName>
    <definedName name="C_rowtags8">'C Student premium'!$H$44:$H$47</definedName>
    <definedName name="C_rowtags9">'C Student premium'!$H$52</definedName>
    <definedName name="C_rowvars">'C Student premium'!$H$5</definedName>
    <definedName name="D_coltags1">'D Erasmus+'!$B$11:$C$11</definedName>
    <definedName name="D_coltags2">'D Erasmus+'!$D$11:$E$11</definedName>
    <definedName name="D_coltags3">'D Erasmus+'!$F$11:$G$11</definedName>
    <definedName name="D_colvars">'D Erasmus+'!$A$11</definedName>
    <definedName name="D_datacols">'D Erasmus+'!$B$12:$G$12</definedName>
    <definedName name="D_rowtags">'D Erasmus+'!$I$7:$I$8</definedName>
    <definedName name="D_rowvars">'D Erasmus+'!$I$6</definedName>
    <definedName name="DATE">'A Summary'!$J$4</definedName>
    <definedName name="DENINTAR">'A Summary'!$K$28</definedName>
    <definedName name="DENINTAR_ISOV">'A Summary'!$K$29</definedName>
    <definedName name="DIS_WHCOUNT">'C Student premium'!$J$65</definedName>
    <definedName name="DISABLED">'C Student premium'!$A$60</definedName>
    <definedName name="E_coltags1">'E NMAH supplement'!$C$47:$E$47</definedName>
    <definedName name="E_coltags2">'E NMAH supplement'!$F$47:$H$47</definedName>
    <definedName name="E_coltags3">'E NMAH supplement'!$I$47:$M$47</definedName>
    <definedName name="E_colvars">'E NMAH supplement'!$A$47</definedName>
    <definedName name="E_datacols">'E NMAH supplement'!$C$48:$M$48</definedName>
    <definedName name="E_rowtags">'E NMAH supplement'!$O$7:$P$42</definedName>
    <definedName name="E_rowvars">'E NMAH supplement'!$O$6:$P$6</definedName>
    <definedName name="ERAS_TA">'D Erasmus+'!$G$4</definedName>
    <definedName name="F_datacols">'F Very high-cost STEM subjects'!$C$16</definedName>
    <definedName name="F_rowtags1">'F Very high-cost STEM subjects'!$E$6:$E$10</definedName>
    <definedName name="F_rowtags2">'F Very high-cost STEM subjects'!$E$12</definedName>
    <definedName name="F_rowvars">'F Very high-cost STEM subjects'!$E$5</definedName>
    <definedName name="G_datacols1">'G Other TAs'!$E$98:$N$98</definedName>
    <definedName name="G_datacols2">'G Other TAs'!$P$98:$U$98</definedName>
    <definedName name="G_rowtags">'G Other TAs'!$W$5:$Z$84</definedName>
    <definedName name="G_rowvars">'G Other TAs'!$W$4:$Z$4</definedName>
    <definedName name="H_datacols">'H Parameters'!$B$61</definedName>
    <definedName name="H_rowtags">'H Parameters'!$J$56:$J$59</definedName>
    <definedName name="H_rowvars">'H Parameters'!$J$55</definedName>
    <definedName name="HEALTH_TA">'E NMAH supplement'!$M$4</definedName>
    <definedName name="HIGHCOST">'B High-cost'!$K$4</definedName>
    <definedName name="INT_TA">'G Other TAs'!$L$4</definedName>
    <definedName name="LOND_TA">'G Other TAs'!$N$4</definedName>
    <definedName name="MEDINTAR">'A Summary'!$K$26</definedName>
    <definedName name="MEDINTAR_ISOV">'A Summary'!$K$27</definedName>
    <definedName name="PGTS_TA">'G Other TAs'!$K$4</definedName>
    <definedName name="_xlnm.Print_Area" localSheetId="1">'A Summary'!$A$1:$E$29</definedName>
    <definedName name="_xlnm.Print_Area" localSheetId="2">'B High-cost'!$A$1:$P$54</definedName>
    <definedName name="_xlnm.Print_Area" localSheetId="3">'C Student premium'!$A$1:$F$78</definedName>
    <definedName name="_xlnm.Print_Area" localSheetId="4">'D Erasmus+'!$A$1:$G$9</definedName>
    <definedName name="_xlnm.Print_Area" localSheetId="5">'E NMAH supplement'!$A$1:$M$45</definedName>
    <definedName name="_xlnm.Print_Area" localSheetId="6">'F Very high-cost STEM subjects'!$A$1:$E$15</definedName>
    <definedName name="_xlnm.Print_Area" localSheetId="7">'G Other TAs'!$A$1:$V$96</definedName>
    <definedName name="_xlnm.Print_Area" localSheetId="8">'H Parameters'!$A$1:$H$59</definedName>
    <definedName name="_xlnm.Print_Area" localSheetId="0">Information!$A$1:$R$15</definedName>
    <definedName name="_xlnm.Print_Titles" localSheetId="7">'G Other TAs'!$A:$D,'G Other TAs'!$1:$4</definedName>
    <definedName name="PRORATA">'A Summary'!$M$2</definedName>
    <definedName name="PROVIDER">'A Summary'!$J$2</definedName>
    <definedName name="SP_FT">'C Student premium'!$A$4</definedName>
    <definedName name="SP_PT">'C Student premium'!$A$51</definedName>
    <definedName name="SPDISPOP">'C Student premium'!$J$66</definedName>
    <definedName name="SPDSAALLOC">'C Student premium'!$J$62</definedName>
    <definedName name="SPSDALLOC">'C Student premium'!$J$63</definedName>
    <definedName name="SPSECTORFLAG">'A Summary'!$L$2</definedName>
    <definedName name="TABLEA">'A Summary'!$A$1</definedName>
    <definedName name="TABLEB">'B High-cost'!$A$1</definedName>
    <definedName name="TABLEC">'C Student premium'!$A$1</definedName>
    <definedName name="TABLED">'D Erasmus+'!$A$1</definedName>
    <definedName name="TABLEE">'E NMAH supplement'!$A$1</definedName>
    <definedName name="TABLEF" comment="Provider">'F Very high-cost STEM subjects'!$A$1</definedName>
    <definedName name="TABLEG">'G Other TAs'!$A$1</definedName>
    <definedName name="TABLEH">'H Parameters'!$A$1</definedName>
    <definedName name="UKPRN">'A Summary'!$K$2</definedName>
    <definedName name="VHCSS">'F Very high-cost STEM subjects'!$B$12</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9" i="77" l="1"/>
  <c r="C28" i="77"/>
  <c r="C27" i="77"/>
  <c r="C26" i="77"/>
  <c r="F85" i="43" l="1"/>
  <c r="G90" i="43"/>
  <c r="G86" i="43"/>
  <c r="F48" i="22"/>
  <c r="M47" i="22"/>
  <c r="N48" i="22"/>
  <c r="N47" i="22"/>
  <c r="M85" i="43"/>
  <c r="L91" i="43"/>
  <c r="L90" i="43"/>
  <c r="L87" i="43"/>
  <c r="L86" i="43"/>
  <c r="K92" i="43"/>
  <c r="K88" i="43"/>
  <c r="M44" i="80"/>
  <c r="M43" i="80"/>
  <c r="L44" i="80"/>
  <c r="L43" i="80"/>
  <c r="J44" i="80"/>
  <c r="K43" i="80"/>
  <c r="J43" i="80"/>
  <c r="I43" i="80"/>
  <c r="F43" i="80"/>
  <c r="C43" i="80"/>
  <c r="R85" i="43" l="1"/>
  <c r="P85" i="43"/>
  <c r="Q85" i="43"/>
  <c r="P89" i="43"/>
  <c r="F89" i="43"/>
  <c r="P48" i="22"/>
  <c r="O48" i="22"/>
  <c r="O47" i="22"/>
  <c r="K48" i="22"/>
  <c r="J48" i="22"/>
  <c r="I48" i="22"/>
  <c r="K47" i="22"/>
  <c r="J47" i="22"/>
  <c r="I47" i="22"/>
  <c r="H47" i="22"/>
  <c r="G47" i="22"/>
  <c r="E47" i="22"/>
  <c r="K44" i="80" l="1"/>
  <c r="Q86" i="43" l="1"/>
  <c r="I45" i="80"/>
  <c r="J45" i="80" l="1"/>
  <c r="U89" i="43" l="1"/>
  <c r="U90" i="43"/>
  <c r="U86" i="43"/>
  <c r="U85" i="43"/>
  <c r="T85" i="43"/>
  <c r="T93" i="43" s="1"/>
  <c r="S90" i="43"/>
  <c r="S86" i="43"/>
  <c r="R90" i="43"/>
  <c r="R89" i="43"/>
  <c r="R86" i="43"/>
  <c r="Q90" i="43"/>
  <c r="Q89" i="43"/>
  <c r="E88" i="43"/>
  <c r="E87" i="43"/>
  <c r="E86" i="43"/>
  <c r="E85" i="43"/>
  <c r="S93" i="43" l="1"/>
  <c r="U93" i="43"/>
  <c r="A13" i="79" l="1"/>
  <c r="A15" i="79" l="1"/>
  <c r="A14" i="79"/>
  <c r="N51" i="22" l="1"/>
  <c r="Q93" i="43" l="1"/>
  <c r="J6" i="77"/>
  <c r="H45" i="80" l="1"/>
  <c r="G45" i="80"/>
  <c r="F45" i="80"/>
  <c r="E45" i="80"/>
  <c r="D45" i="80"/>
  <c r="H44" i="80"/>
  <c r="G44" i="80"/>
  <c r="E44" i="80"/>
  <c r="D44" i="80"/>
  <c r="L45" i="80"/>
  <c r="H43" i="80"/>
  <c r="G43" i="80"/>
  <c r="E43" i="80"/>
  <c r="D43" i="80"/>
  <c r="K45" i="80" l="1"/>
  <c r="M45" i="80"/>
  <c r="A12" i="79" l="1"/>
  <c r="A11" i="79"/>
  <c r="A10" i="79"/>
  <c r="A9" i="79"/>
  <c r="J7" i="77" l="1"/>
  <c r="A4" i="79"/>
  <c r="J8" i="77" l="1"/>
  <c r="A1" i="80" l="1"/>
  <c r="A1" i="43"/>
  <c r="A1" i="17"/>
  <c r="A1" i="30"/>
  <c r="A1" i="78"/>
  <c r="A1" i="77"/>
  <c r="A1" i="94" s="1"/>
  <c r="A1" i="22"/>
  <c r="M4" i="79" l="1"/>
  <c r="L4" i="79"/>
  <c r="K4" i="79"/>
  <c r="J4" i="79"/>
  <c r="I4" i="79"/>
  <c r="H4" i="79"/>
  <c r="G4" i="79"/>
  <c r="F4" i="79"/>
  <c r="E4" i="79"/>
  <c r="D4" i="79"/>
  <c r="C4" i="79"/>
  <c r="B4" i="79"/>
  <c r="B8" i="80" l="1"/>
  <c r="B14" i="80" l="1"/>
  <c r="B22" i="80"/>
  <c r="B30" i="80"/>
  <c r="B38" i="80"/>
  <c r="B10" i="80"/>
  <c r="B18" i="80"/>
  <c r="B26" i="80"/>
  <c r="B34" i="80"/>
  <c r="B42" i="80"/>
  <c r="B12" i="80"/>
  <c r="B16" i="80"/>
  <c r="B20" i="80"/>
  <c r="B24" i="80"/>
  <c r="B28" i="80"/>
  <c r="B32" i="80"/>
  <c r="B36" i="80"/>
  <c r="B40" i="80"/>
  <c r="B44" i="80"/>
  <c r="H89" i="43" l="1"/>
  <c r="H85" i="43"/>
  <c r="P47" i="22"/>
  <c r="G51" i="22"/>
  <c r="F51" i="22"/>
  <c r="H93" i="43" l="1"/>
  <c r="G93" i="43"/>
  <c r="P51" i="22"/>
  <c r="O51" i="22"/>
  <c r="R93" i="43" l="1"/>
  <c r="A5" i="79"/>
  <c r="C45" i="80" l="1"/>
  <c r="M51" i="22" l="1"/>
  <c r="P93" i="43" l="1"/>
  <c r="E9" i="78"/>
  <c r="D9" i="78"/>
  <c r="G9" i="78"/>
  <c r="F9" i="78"/>
  <c r="C9" i="78"/>
  <c r="B9" i="78"/>
  <c r="N92" i="43" l="1"/>
  <c r="N86" i="43"/>
  <c r="N85" i="43"/>
  <c r="M93" i="43"/>
  <c r="L92" i="43"/>
  <c r="L88" i="43"/>
  <c r="L93" i="43" l="1"/>
  <c r="I85" i="43"/>
  <c r="K50" i="22"/>
  <c r="J50" i="22"/>
  <c r="K49" i="22"/>
  <c r="J49" i="22"/>
  <c r="I49" i="22"/>
  <c r="I50" i="22"/>
  <c r="H51" i="22"/>
  <c r="E51" i="22"/>
  <c r="K93" i="43" l="1"/>
  <c r="F93" i="43"/>
  <c r="A3" i="77" l="1"/>
  <c r="A8" i="79" s="1"/>
  <c r="J92" i="43" l="1"/>
  <c r="I92" i="43"/>
  <c r="N91" i="43"/>
  <c r="J91" i="43"/>
  <c r="I91" i="43"/>
  <c r="N90" i="43"/>
  <c r="J90" i="43"/>
  <c r="I90" i="43"/>
  <c r="N89" i="43"/>
  <c r="J89" i="43"/>
  <c r="I89" i="43"/>
  <c r="N88" i="43"/>
  <c r="J88" i="43"/>
  <c r="I88" i="43"/>
  <c r="N87" i="43"/>
  <c r="J87" i="43"/>
  <c r="I87" i="43"/>
  <c r="J86" i="43"/>
  <c r="I86" i="43"/>
  <c r="J85" i="43"/>
  <c r="E92" i="43"/>
  <c r="E91" i="43"/>
  <c r="E90" i="43"/>
  <c r="E89" i="43"/>
  <c r="N93" i="43" l="1"/>
  <c r="I93" i="43"/>
  <c r="J93" i="43"/>
  <c r="E93" i="43"/>
  <c r="C7" i="43" l="1"/>
  <c r="C87" i="43"/>
  <c r="C91" i="43"/>
  <c r="C19" i="43"/>
  <c r="C86" i="43"/>
  <c r="C90" i="43"/>
  <c r="C88" i="43"/>
  <c r="C92" i="43"/>
  <c r="C9" i="43"/>
  <c r="C83" i="43"/>
  <c r="C60" i="43"/>
  <c r="C67" i="43"/>
  <c r="C59" i="43"/>
  <c r="C58" i="43"/>
  <c r="C79" i="43"/>
  <c r="C81" i="43"/>
  <c r="C71" i="43"/>
  <c r="C73" i="43"/>
  <c r="C75" i="43"/>
  <c r="C63" i="43"/>
  <c r="C65" i="43"/>
  <c r="C51" i="43"/>
  <c r="C53" i="43"/>
  <c r="C55" i="43"/>
  <c r="C43" i="43"/>
  <c r="C45" i="43"/>
  <c r="C47" i="43"/>
  <c r="C35" i="43"/>
  <c r="C27" i="43"/>
  <c r="C37" i="43"/>
  <c r="C39" i="43"/>
  <c r="C29" i="43"/>
  <c r="C31" i="43"/>
  <c r="C21" i="43"/>
  <c r="C23" i="43"/>
  <c r="C13" i="43"/>
  <c r="C15" i="43"/>
  <c r="C12" i="22" l="1"/>
  <c r="C10" i="22"/>
  <c r="C6" i="22"/>
  <c r="C9" i="22"/>
  <c r="C7" i="22"/>
  <c r="C33" i="22"/>
  <c r="C48" i="22"/>
  <c r="C49" i="22"/>
  <c r="C50" i="22"/>
  <c r="C44" i="22"/>
  <c r="C45" i="22"/>
  <c r="C46" i="22"/>
  <c r="C40" i="22"/>
  <c r="C41" i="22"/>
  <c r="C42" i="22"/>
  <c r="C36" i="22"/>
  <c r="C37" i="22"/>
  <c r="C38" i="22"/>
  <c r="C32" i="22"/>
  <c r="C34" i="22"/>
  <c r="C17" i="22"/>
  <c r="C28" i="22"/>
  <c r="C29" i="22"/>
  <c r="C30" i="22"/>
  <c r="C24" i="22"/>
  <c r="C25" i="22"/>
  <c r="C26" i="22"/>
  <c r="C20" i="22"/>
  <c r="C21" i="22"/>
  <c r="C22" i="22"/>
  <c r="C16" i="22"/>
  <c r="C18" i="22"/>
  <c r="C14" i="22"/>
  <c r="C13" i="22"/>
  <c r="D50" i="22" l="1"/>
  <c r="D49" i="22"/>
  <c r="D48" i="22"/>
  <c r="K51" i="22" l="1"/>
  <c r="D47" i="22" l="1"/>
  <c r="D51" i="22" s="1"/>
  <c r="J51" i="22" l="1"/>
  <c r="I51" i="22"/>
</calcChain>
</file>

<file path=xl/sharedStrings.xml><?xml version="1.0" encoding="utf-8"?>
<sst xmlns="http://schemas.openxmlformats.org/spreadsheetml/2006/main" count="1151" uniqueCount="320">
  <si>
    <t>Mode</t>
  </si>
  <si>
    <t>PT</t>
  </si>
  <si>
    <t>FTS</t>
  </si>
  <si>
    <t>Total</t>
  </si>
  <si>
    <t>All</t>
  </si>
  <si>
    <t>Level</t>
  </si>
  <si>
    <t>UG</t>
  </si>
  <si>
    <t>A</t>
  </si>
  <si>
    <t>B</t>
  </si>
  <si>
    <t>D</t>
  </si>
  <si>
    <t>Length</t>
  </si>
  <si>
    <t>Long</t>
  </si>
  <si>
    <t>Standard</t>
  </si>
  <si>
    <t>Price group</t>
  </si>
  <si>
    <t>SWOUT</t>
  </si>
  <si>
    <t>London weighting</t>
  </si>
  <si>
    <t>Clinical consultants' pay</t>
  </si>
  <si>
    <t>NHS pensions scheme compensation</t>
  </si>
  <si>
    <t>Weighted FTEs</t>
  </si>
  <si>
    <t>Funding rate per weighted FTE (£)</t>
  </si>
  <si>
    <t>Allocation (£)</t>
  </si>
  <si>
    <t>DISFTE</t>
  </si>
  <si>
    <t>Senior academic GPs' pay</t>
  </si>
  <si>
    <t>S</t>
  </si>
  <si>
    <t>L</t>
  </si>
  <si>
    <t>Scaling factor</t>
  </si>
  <si>
    <t>C1</t>
  </si>
  <si>
    <t>C2</t>
  </si>
  <si>
    <t>Intensive postgraduate provision</t>
  </si>
  <si>
    <t>PRICEGRP</t>
  </si>
  <si>
    <t>MODE</t>
  </si>
  <si>
    <t>LEVEL</t>
  </si>
  <si>
    <t>LENGTH</t>
  </si>
  <si>
    <t>PGT_UGF</t>
  </si>
  <si>
    <t>Tables</t>
  </si>
  <si>
    <t>M_D_ADJ</t>
  </si>
  <si>
    <t>C1 and C2</t>
  </si>
  <si>
    <t>Students attending courses in London</t>
  </si>
  <si>
    <t>Erasmus+ and overseas study programmes</t>
  </si>
  <si>
    <t>Other FTE adjustments</t>
  </si>
  <si>
    <t>FTE adjustments</t>
  </si>
  <si>
    <t>Intensive postgraduate provision (£)</t>
  </si>
  <si>
    <t>Students attending courses in London (£)</t>
  </si>
  <si>
    <t>HOMEF</t>
  </si>
  <si>
    <t>Targeted allocations</t>
  </si>
  <si>
    <t>Specialist institutions</t>
  </si>
  <si>
    <t>PGT_ML</t>
  </si>
  <si>
    <t>PGT_OTH</t>
  </si>
  <si>
    <t>Postgraduate taught supplement</t>
  </si>
  <si>
    <t>Postgraduate taught supplement (£)</t>
  </si>
  <si>
    <t>Disabled students' premium</t>
  </si>
  <si>
    <t>Main allocation (£)</t>
  </si>
  <si>
    <t>Supplement (£)</t>
  </si>
  <si>
    <t>HIGHCOST</t>
  </si>
  <si>
    <t>TARGET</t>
  </si>
  <si>
    <t>T_TOT</t>
  </si>
  <si>
    <t>GRANT</t>
  </si>
  <si>
    <t>ALLOC</t>
  </si>
  <si>
    <t>MEDINTAR</t>
  </si>
  <si>
    <t>DENINTAR</t>
  </si>
  <si>
    <t>PGTS_TA</t>
  </si>
  <si>
    <t>INT_TA</t>
  </si>
  <si>
    <t>ACCL_TA</t>
  </si>
  <si>
    <t>ERAS_TA</t>
  </si>
  <si>
    <t>LOND_TA</t>
  </si>
  <si>
    <t>IS_TA</t>
  </si>
  <si>
    <t>CCPAY_TA</t>
  </si>
  <si>
    <t>SAGP_TA</t>
  </si>
  <si>
    <t>NHS_TA</t>
  </si>
  <si>
    <t>Titles</t>
  </si>
  <si>
    <t>PGT</t>
  </si>
  <si>
    <t>SP_FT_MAIN_WFTE</t>
  </si>
  <si>
    <t>SP_FT_MAIN_WHCOUNT</t>
  </si>
  <si>
    <t>SP_FT_MAIN_HCOUNT</t>
  </si>
  <si>
    <t>FT_UG_FTE</t>
  </si>
  <si>
    <t>SP_FT_MAIN_Rate</t>
  </si>
  <si>
    <t>SP_FT_SUPP_WHCOUNT</t>
  </si>
  <si>
    <t>SP_FT_SUPP_HCOUNT</t>
  </si>
  <si>
    <t>SP_FT_SUPP_WFTE</t>
  </si>
  <si>
    <t>SP_FT_SUPP_Rate</t>
  </si>
  <si>
    <t>SPDSAALLOC</t>
  </si>
  <si>
    <t>SPSDALLOC</t>
  </si>
  <si>
    <t>SPDISPOP</t>
  </si>
  <si>
    <t>DIS_RATE</t>
  </si>
  <si>
    <t>HEALTH</t>
  </si>
  <si>
    <t>SP_FT</t>
  </si>
  <si>
    <t>SP_PT</t>
  </si>
  <si>
    <t>DISABLED</t>
  </si>
  <si>
    <t>Title</t>
  </si>
  <si>
    <t>HEALTH_TA</t>
  </si>
  <si>
    <t>Rate of funding</t>
  </si>
  <si>
    <t>Nursing - adult</t>
  </si>
  <si>
    <t>Nursing - children</t>
  </si>
  <si>
    <t>Nursing - mental health</t>
  </si>
  <si>
    <t>Radiography (diagnostic)</t>
  </si>
  <si>
    <t>Nursing - unclassified</t>
  </si>
  <si>
    <t>Radiography (therapeutic)</t>
  </si>
  <si>
    <t>Speech and language therapy</t>
  </si>
  <si>
    <t>Nursing - learning disability</t>
  </si>
  <si>
    <t>Podiatry and chiropody</t>
  </si>
  <si>
    <t>Orthoptics</t>
  </si>
  <si>
    <t>Orthotics and prosthetics</t>
  </si>
  <si>
    <t>Weighted headcount of at-risk students</t>
  </si>
  <si>
    <t>Medium and high risk students weighting</t>
  </si>
  <si>
    <t>Weighted headcount of disabled students</t>
  </si>
  <si>
    <t>Disabled students' premium weighting</t>
  </si>
  <si>
    <t>Minimum allocation (£)</t>
  </si>
  <si>
    <t>DIS_WHCOUNT</t>
  </si>
  <si>
    <t>UKPRN</t>
  </si>
  <si>
    <t>Total targeted allocations</t>
  </si>
  <si>
    <t>Non-fundable</t>
  </si>
  <si>
    <t>Type of year abroad</t>
  </si>
  <si>
    <t>Outgoing Erasmus+ year abroad</t>
  </si>
  <si>
    <t>Outgoing year abroad outside the Erasmus+ programme</t>
  </si>
  <si>
    <t>Sandwich year out</t>
  </si>
  <si>
    <t>Total years countable for Erasmus+ and overseas study programmes</t>
  </si>
  <si>
    <t>Erasmus+ and overseas study programmes (£)</t>
  </si>
  <si>
    <t>Profession</t>
  </si>
  <si>
    <t>YEARABR</t>
  </si>
  <si>
    <t>ERAS</t>
  </si>
  <si>
    <t>NON_ERAS</t>
  </si>
  <si>
    <t>Dental hygiene</t>
  </si>
  <si>
    <t>Dental therapy</t>
  </si>
  <si>
    <t>Dietetics</t>
  </si>
  <si>
    <t>Midwifery</t>
  </si>
  <si>
    <t>Occupational therapy</t>
  </si>
  <si>
    <t>Operating department practice</t>
  </si>
  <si>
    <t>Physiotherapy</t>
  </si>
  <si>
    <t>Starters in 2016-17</t>
  </si>
  <si>
    <t>Starters in 2017-18</t>
  </si>
  <si>
    <t>HEALTHFTE1617</t>
  </si>
  <si>
    <t>HEALTHFTE1718</t>
  </si>
  <si>
    <t>HEALTHFTETOT</t>
  </si>
  <si>
    <t>PROF</t>
  </si>
  <si>
    <t>DENHYG</t>
  </si>
  <si>
    <t>DENTHE</t>
  </si>
  <si>
    <t>DIETET</t>
  </si>
  <si>
    <t>MIDWIF</t>
  </si>
  <si>
    <t>NURSAD</t>
  </si>
  <si>
    <t>NURSCH</t>
  </si>
  <si>
    <t>NURSLD</t>
  </si>
  <si>
    <t>NURSMH</t>
  </si>
  <si>
    <t>NURSUN</t>
  </si>
  <si>
    <t>OCCTHE</t>
  </si>
  <si>
    <t>OPDEPT</t>
  </si>
  <si>
    <t>ORTHOP</t>
  </si>
  <si>
    <t>ORTPRO</t>
  </si>
  <si>
    <t>PHYSIO</t>
  </si>
  <si>
    <t>PODCHI</t>
  </si>
  <si>
    <t>RADDIA</t>
  </si>
  <si>
    <t>RADTHE</t>
  </si>
  <si>
    <t>SPELAN</t>
  </si>
  <si>
    <t>[MODE]</t>
  </si>
  <si>
    <t>TOTAL</t>
  </si>
  <si>
    <t>HOMENF</t>
  </si>
  <si>
    <t>MEDINTAR_ISOV</t>
  </si>
  <si>
    <t>DENINTAR_ISOV</t>
  </si>
  <si>
    <t>Y_F_M</t>
  </si>
  <si>
    <t>Y_F_H</t>
  </si>
  <si>
    <t>M_F_M</t>
  </si>
  <si>
    <t>M_F_H</t>
  </si>
  <si>
    <t>Y_O_M</t>
  </si>
  <si>
    <t>Y_O_H</t>
  </si>
  <si>
    <t>M_O_M</t>
  </si>
  <si>
    <t>M_O_H</t>
  </si>
  <si>
    <t>PT_UG_FTE</t>
  </si>
  <si>
    <t>SP_PT_Rate</t>
  </si>
  <si>
    <t>Y_F_M_1_2</t>
  </si>
  <si>
    <t>Y_F_H_1_2</t>
  </si>
  <si>
    <t>M_F_M_1_2</t>
  </si>
  <si>
    <t>M_F_H_1_2</t>
  </si>
  <si>
    <t>Y_O_M_1_2</t>
  </si>
  <si>
    <t>Y_O_H_1_2</t>
  </si>
  <si>
    <t>M_O_M_1_2</t>
  </si>
  <si>
    <t>M_O_H_1_2</t>
  </si>
  <si>
    <t>SP_FT_MAIN_WEIGHT</t>
  </si>
  <si>
    <t>SP_FT_SUPP_WEIGHT</t>
  </si>
  <si>
    <t>SP_FT_SUPP_MHWEIGHT</t>
  </si>
  <si>
    <t>DIS_WGT</t>
  </si>
  <si>
    <t>DIS_WFTE</t>
  </si>
  <si>
    <t>SP_FT_MAIN</t>
  </si>
  <si>
    <t>SP_FT_MAIN_HEALTH</t>
  </si>
  <si>
    <t>SP_FT_SUPP</t>
  </si>
  <si>
    <t>SP_FT_SUPP_HEALTH</t>
  </si>
  <si>
    <t>SP_PT_HEALTH</t>
  </si>
  <si>
    <t>DISABLED_PREV</t>
  </si>
  <si>
    <t>DISABLED_HEALTH</t>
  </si>
  <si>
    <t>Of which maximum overseas numbers</t>
  </si>
  <si>
    <t>Nursing, midwifery and allied health supplement (£)</t>
  </si>
  <si>
    <t>Nursing, midwifery and allied health supplement</t>
  </si>
  <si>
    <t>Date</t>
  </si>
  <si>
    <t>UGHEALTHFTE1617</t>
  </si>
  <si>
    <t>UGHEALTHFTE1718</t>
  </si>
  <si>
    <t>PGHEALTHFTE1718</t>
  </si>
  <si>
    <t>DENHEALTHFTE1718</t>
  </si>
  <si>
    <t>Sub-level</t>
  </si>
  <si>
    <t>Age</t>
  </si>
  <si>
    <t>Risk category</t>
  </si>
  <si>
    <t>Weight</t>
  </si>
  <si>
    <t>First degree</t>
  </si>
  <si>
    <t>Young</t>
  </si>
  <si>
    <t>Medium</t>
  </si>
  <si>
    <t>High</t>
  </si>
  <si>
    <t>Mature</t>
  </si>
  <si>
    <t>Other UG</t>
  </si>
  <si>
    <t>Total headcount</t>
  </si>
  <si>
    <t>Quintiles</t>
  </si>
  <si>
    <t>1 and 2</t>
  </si>
  <si>
    <t>Disability status</t>
  </si>
  <si>
    <t>In receipt of DSA</t>
  </si>
  <si>
    <t>Self-declared disability, not in receipt of DSA</t>
  </si>
  <si>
    <t>Of which related to NMAH² funding transfer (£)</t>
  </si>
  <si>
    <t>Provider</t>
  </si>
  <si>
    <t>Provider name</t>
  </si>
  <si>
    <t>Of which related to nursing, midwifery and allied health funding transfer (£)</t>
  </si>
  <si>
    <t>Total FTEs for nursing, midwifery and allied health supplement</t>
  </si>
  <si>
    <t>High-cost subject funding (£)</t>
  </si>
  <si>
    <t>Full-time</t>
  </si>
  <si>
    <t>Full-time student premium (main allocation) weighting</t>
  </si>
  <si>
    <t>Full-time student premium (supplement) weighting</t>
  </si>
  <si>
    <t>Full-time and sandwich year out</t>
  </si>
  <si>
    <t>Part-time</t>
  </si>
  <si>
    <t>High-cost subject funding</t>
  </si>
  <si>
    <t>Accelerated full-time undergraduate provision</t>
  </si>
  <si>
    <t>Premium to support successful student outcomes: full-time (main allocation)</t>
  </si>
  <si>
    <t>Premium to support successful student outcomes: full-time (supplement)</t>
  </si>
  <si>
    <t>Premium to support successful student outcomes: part-time</t>
  </si>
  <si>
    <t>Accelerated 
full-time undergraduate provision (£)</t>
  </si>
  <si>
    <t>Premium to support successful student outcomes: full-time</t>
  </si>
  <si>
    <t>Adjustment for over-recruitment against medical and dental intake targets</t>
  </si>
  <si>
    <t>Very high-cost STEM subjects</t>
  </si>
  <si>
    <t>Medical intake target for 2019-20</t>
  </si>
  <si>
    <t>Dental intake target for 2019-20</t>
  </si>
  <si>
    <t>Total FTEs for 2019-20 high-cost subject funding</t>
  </si>
  <si>
    <t>Table B: 2019-20 High-cost subject funding</t>
  </si>
  <si>
    <t>Table C: 2019-20 Student premium allocations</t>
  </si>
  <si>
    <t>Total FTEs for 2019-20¹</t>
  </si>
  <si>
    <t>Total FTEs for 2019-20: Part-time UG¹</t>
  </si>
  <si>
    <t>Total FTEs for 2019-20: Full-time and sandwich year out UG¹</t>
  </si>
  <si>
    <t>Table D: 2019-20 Erasmus+ and overseas study programmes</t>
  </si>
  <si>
    <t>OfS-fundable</t>
  </si>
  <si>
    <t>Starters in 2018-19</t>
  </si>
  <si>
    <t>Table E: 2019-20 Nursing, midwifery and allied health supplement</t>
  </si>
  <si>
    <t>Total FTEs for 2019-20 other targeted allocations</t>
  </si>
  <si>
    <t>2018-19 Disabled students' premium (£)</t>
  </si>
  <si>
    <t>PGT (UG fee)</t>
  </si>
  <si>
    <t>Total funding</t>
  </si>
  <si>
    <t xml:space="preserve">Funding rate per FTE </t>
  </si>
  <si>
    <t>Table A: 2019-20 Summary of allocations</t>
  </si>
  <si>
    <t>Chemistry</t>
  </si>
  <si>
    <t>Physics</t>
  </si>
  <si>
    <t>Chemical engineering</t>
  </si>
  <si>
    <t>Mineral, metallurgy and materials engineering</t>
  </si>
  <si>
    <t>Table H: 2019-20 Parameters in the funding models</t>
  </si>
  <si>
    <t>Table G: 2019-20 Other targeted allocations</t>
  </si>
  <si>
    <t>¹ From 'G Other TAs' tab of this workbook</t>
  </si>
  <si>
    <t>Total FTE*</t>
  </si>
  <si>
    <t>HEALTHFTE1819</t>
  </si>
  <si>
    <t>FTEADJ19</t>
  </si>
  <si>
    <t>FTE19</t>
  </si>
  <si>
    <t>HIGHCOST19</t>
  </si>
  <si>
    <t>HC19_HEALTH</t>
  </si>
  <si>
    <t>VHCSS_TA</t>
  </si>
  <si>
    <t>Full-time and sandwich year out UG headcount (2017-18 HESA/ILR)</t>
  </si>
  <si>
    <t>DSA-eligible headcount
(2017-18 HESA/ILR)</t>
  </si>
  <si>
    <t>FTEs from OfS data survey</t>
  </si>
  <si>
    <t>Additional NMAH cohort: PGT FTEs</t>
  </si>
  <si>
    <t>Additional NMAH cohort: DHDT FTEs</t>
  </si>
  <si>
    <t>OfS-fundable NMAH FTEs: UG starters in 2017-18</t>
  </si>
  <si>
    <t>OfS-fundable NMAH FTEs: UG and PGT starters in 2018-19</t>
  </si>
  <si>
    <t>2018-19 years abroad from OfS data survey</t>
  </si>
  <si>
    <t>ERASSTU18</t>
  </si>
  <si>
    <t>ERAS_TA19</t>
  </si>
  <si>
    <t>² Nursing, midwifery and allied health</t>
  </si>
  <si>
    <t>PGT (Masters' loan)</t>
  </si>
  <si>
    <t>PGT (Other)</t>
  </si>
  <si>
    <t>A, B, C1 and C2</t>
  </si>
  <si>
    <t>OfS-fundable NMAH FTEs: 
UG starters in 2017-18</t>
  </si>
  <si>
    <t>OfS-fundable NMAH FTEs:
UG and PGT starters in 
2018-19</t>
  </si>
  <si>
    <t xml:space="preserve">*If there are fewer than 30 FTEs for an individual subject those FTEs are not included in the total. </t>
  </si>
  <si>
    <t>Of which related to NMAH funding transfer</t>
  </si>
  <si>
    <t>¹ Nursing, midwifery and allied health</t>
  </si>
  <si>
    <t>² Dental hygiene and dental therapy</t>
  </si>
  <si>
    <t>Additional NMAH¹ cohort: UG FTEs
(excl. DHDT²)</t>
  </si>
  <si>
    <t>Additional NMAH¹ cohort: UG FTEs 
(excl. DHDT²)</t>
  </si>
  <si>
    <t>Total NMAH FTEs for
 2019-20
high-cost subject funding</t>
  </si>
  <si>
    <t>HEALTH_TA19</t>
  </si>
  <si>
    <t>HEALTHFTE1617HH</t>
  </si>
  <si>
    <t>HEALTHFTE1718HH</t>
  </si>
  <si>
    <t>HEALTHFTE1819HH</t>
  </si>
  <si>
    <t>HEALTHTAFTETOT</t>
  </si>
  <si>
    <t>Table F: 2019-20 Very high-cost STEM subjects targeted allocation</t>
  </si>
  <si>
    <t>SPSECTORFLAG</t>
  </si>
  <si>
    <t>INT_TA19</t>
  </si>
  <si>
    <t>ACCL_TA19</t>
  </si>
  <si>
    <t>TA_FTE19</t>
  </si>
  <si>
    <t>PGTS_TA19</t>
  </si>
  <si>
    <t>LOND_TA19</t>
  </si>
  <si>
    <t>INT_TA19_HEALTH</t>
  </si>
  <si>
    <t>ACCL_TA19_HEALTH</t>
  </si>
  <si>
    <t>LOND_TA19_HEALTH</t>
  </si>
  <si>
    <t>FTE_CHEMIST</t>
  </si>
  <si>
    <t>FTE_PHYSICS</t>
  </si>
  <si>
    <t>FTE_CHEMENG</t>
  </si>
  <si>
    <t>FTECOUNT</t>
  </si>
  <si>
    <t>VHCSS_TA19</t>
  </si>
  <si>
    <t>Hide for no SP sector rates applied</t>
  </si>
  <si>
    <t>Total FTEs in very high-cost STEM subjects:</t>
  </si>
  <si>
    <t>Headcount of at-risk and underrepresented students</t>
  </si>
  <si>
    <t>Total NMAH FTEs for 2019-20 targeted allocations funding</t>
  </si>
  <si>
    <t>FTE_MMMENG</t>
  </si>
  <si>
    <t>We have used data from all other providers for which we have 2017-18 individualised data in our calculation of the allocations shown below. This is because we do not have, or are not able to use, individualised data for your provider.</t>
  </si>
  <si>
    <t>We have used data from all other providers for which we have 2017-18 individualised data in our calculation of the ‘Premium to support successful student outcomes: full-time’ allocations shown below.  This is because we do not have, or are not able to use, individualised data for your provider.</t>
  </si>
  <si>
    <t>GRANT_PRORATA</t>
  </si>
  <si>
    <t>2019-20  Allocation for days registered  (£)</t>
  </si>
  <si>
    <t>Pro-rata</t>
  </si>
  <si>
    <t>march2020 2019</t>
  </si>
  <si>
    <t>2019-20 July 2020 grant tables</t>
  </si>
  <si>
    <t>Various</t>
  </si>
  <si>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</sst>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0_ ;[Red]\-#,##0\ "/>
    <numFmt numFmtId="166" formatCode="#,##0.0_ ;[Red]\-#,##0.0\ "/>
    <numFmt numFmtId="167" formatCode="0.0000"/>
    <numFmt numFmtId="168" formatCode="#,##0.00000"/>
    <numFmt numFmtId="169" formatCode="&quot;£&quot;#,##0.00"/>
    <numFmt numFmtId="170" formatCode=";\ ;\ ;"/>
    <numFmt numFmtId="171" formatCode="[$£-809]#,##0"/>
    <numFmt numFmtId="172" formatCode="0.00000000000"/>
    <numFmt numFmtId="173" formatCode="&quot;£&quot;#,##0"/>
    <numFmt numFmtId="174" formatCode="0.000"/>
  </numFmts>
  <fonts count="39" x14ac:knownFonts="1">
    <font>
      <sz val="10"/>
      <name val="MS Sans Serif"/>
    </font>
    <font>
      <sz val="11"/>
      <color theme="1"/>
      <name val="Calibri"/>
      <family val="2"/>
      <scheme val="minor"/>
    </font>
    <font>
      <sz val="10"/>
      <name val="MS Sans Serif"/>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2"/>
      <name val="Arial"/>
      <family val="2"/>
    </font>
    <font>
      <b/>
      <sz val="10.5"/>
      <name val="Arial"/>
      <family val="2"/>
    </font>
    <font>
      <sz val="10.5"/>
      <name val="Arial"/>
      <family val="2"/>
    </font>
    <font>
      <sz val="10"/>
      <color theme="1"/>
      <name val="Arial"/>
      <family val="2"/>
    </font>
    <font>
      <sz val="10.5"/>
      <color theme="0"/>
      <name val="Arial"/>
      <family val="2"/>
    </font>
    <font>
      <i/>
      <sz val="10.5"/>
      <name val="Arial"/>
      <family val="2"/>
    </font>
    <font>
      <b/>
      <sz val="11"/>
      <name val="Arial"/>
      <family val="2"/>
    </font>
    <font>
      <sz val="26"/>
      <name val="Arial"/>
      <family val="2"/>
    </font>
    <font>
      <u/>
      <sz val="10"/>
      <color theme="10"/>
      <name val="MS Sans Serif"/>
    </font>
    <font>
      <b/>
      <sz val="10"/>
      <color rgb="FFFF0000"/>
      <name val="Arial"/>
      <family val="2"/>
    </font>
    <font>
      <b/>
      <u/>
      <sz val="11"/>
      <name val="Arial"/>
      <family val="2"/>
    </font>
    <font>
      <u/>
      <sz val="11"/>
      <color theme="10"/>
      <name val="Arial"/>
      <family val="2"/>
    </font>
    <font>
      <sz val="11"/>
      <name val="Arial"/>
      <family val="2"/>
    </font>
    <font>
      <sz val="26"/>
      <color theme="7" tint="-0.499984740745262"/>
      <name val="Arial"/>
      <family val="2"/>
    </font>
    <font>
      <sz val="20"/>
      <color theme="7" tint="-0.499984740745262"/>
      <name val="Arial"/>
      <family val="2"/>
    </font>
    <font>
      <sz val="20"/>
      <color theme="3" tint="-0.499984740745262"/>
      <name val="Arial"/>
      <family val="2"/>
    </font>
    <font>
      <sz val="10.5"/>
      <color theme="0" tint="-0.14999847407452621"/>
      <name val="Arial"/>
      <family val="2"/>
    </font>
    <font>
      <sz val="22"/>
      <color theme="3" tint="-0.499984740745262"/>
      <name val="Arial"/>
      <family val="2"/>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bgColor indexed="64"/>
      </patternFill>
    </fill>
  </fills>
  <borders count="9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medium">
        <color indexed="64"/>
      </top>
      <bottom/>
      <diagonal/>
    </border>
    <border>
      <left/>
      <right/>
      <top style="medium">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hair">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right/>
      <top style="double">
        <color auto="1"/>
      </top>
      <bottom style="medium">
        <color indexed="64"/>
      </bottom>
      <diagonal/>
    </border>
    <border>
      <left/>
      <right style="thin">
        <color indexed="64"/>
      </right>
      <top style="medium">
        <color indexed="64"/>
      </top>
      <bottom/>
      <diagonal/>
    </border>
    <border>
      <left style="hair">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top style="double">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hair">
        <color indexed="64"/>
      </bottom>
      <diagonal/>
    </border>
    <border>
      <left/>
      <right/>
      <top style="hair">
        <color indexed="64"/>
      </top>
      <bottom style="thin">
        <color theme="0" tint="-0.14996795556505021"/>
      </bottom>
      <diagonal/>
    </border>
    <border>
      <left/>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diagonal/>
    </border>
    <border>
      <left/>
      <right/>
      <top style="double">
        <color indexed="64"/>
      </top>
      <bottom style="thin">
        <color theme="0" tint="-0.14996795556505021"/>
      </bottom>
      <diagonal/>
    </border>
    <border>
      <left/>
      <right/>
      <top/>
      <bottom style="double">
        <color indexed="64"/>
      </bottom>
      <diagonal/>
    </border>
    <border>
      <left style="hair">
        <color indexed="64"/>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indexed="64"/>
      </top>
      <bottom style="thin">
        <color theme="0" tint="-0.14996795556505021"/>
      </bottom>
      <diagonal/>
    </border>
    <border>
      <left/>
      <right/>
      <top style="thin">
        <color theme="0" tint="-0.14996795556505021"/>
      </top>
      <bottom style="double">
        <color indexed="64"/>
      </bottom>
      <diagonal/>
    </border>
    <border>
      <left style="hair">
        <color indexed="64"/>
      </left>
      <right/>
      <top style="thin">
        <color theme="0" tint="-0.14996795556505021"/>
      </top>
      <bottom style="double">
        <color indexed="64"/>
      </bottom>
      <diagonal/>
    </border>
    <border>
      <left/>
      <right style="thin">
        <color indexed="64"/>
      </right>
      <top style="thin">
        <color theme="0" tint="-0.14996795556505021"/>
      </top>
      <bottom style="double">
        <color indexed="64"/>
      </bottom>
      <diagonal/>
    </border>
    <border>
      <left style="thin">
        <color indexed="64"/>
      </left>
      <right/>
      <top style="thin">
        <color theme="0" tint="-0.14996795556505021"/>
      </top>
      <bottom style="double">
        <color indexed="64"/>
      </bottom>
      <diagonal/>
    </border>
    <border>
      <left/>
      <right style="thin">
        <color indexed="64"/>
      </right>
      <top style="thin">
        <color theme="0" tint="-0.14996795556505021"/>
      </top>
      <bottom style="hair">
        <color indexed="64"/>
      </bottom>
      <diagonal/>
    </border>
    <border>
      <left style="thin">
        <color indexed="64"/>
      </left>
      <right/>
      <top style="thin">
        <color theme="0" tint="-0.14996795556505021"/>
      </top>
      <bottom style="hair">
        <color indexed="64"/>
      </bottom>
      <diagonal/>
    </border>
    <border>
      <left/>
      <right style="thin">
        <color indexed="64"/>
      </right>
      <top/>
      <bottom style="thin">
        <color theme="0" tint="-0.14996795556505021"/>
      </bottom>
      <diagonal/>
    </border>
    <border>
      <left style="thin">
        <color indexed="64"/>
      </left>
      <right/>
      <top/>
      <bottom style="thin">
        <color theme="0" tint="-0.14996795556505021"/>
      </bottom>
      <diagonal/>
    </border>
    <border>
      <left/>
      <right style="thin">
        <color indexed="64"/>
      </right>
      <top style="hair">
        <color indexed="64"/>
      </top>
      <bottom style="thin">
        <color theme="0" tint="-0.14996795556505021"/>
      </bottom>
      <diagonal/>
    </border>
    <border>
      <left style="thin">
        <color indexed="64"/>
      </left>
      <right/>
      <top style="hair">
        <color indexed="64"/>
      </top>
      <bottom style="thin">
        <color theme="0" tint="-0.14996795556505021"/>
      </bottom>
      <diagonal/>
    </border>
    <border>
      <left/>
      <right style="thin">
        <color indexed="64"/>
      </right>
      <top style="thin">
        <color theme="0" tint="-0.14996795556505021"/>
      </top>
      <bottom/>
      <diagonal/>
    </border>
    <border>
      <left style="thin">
        <color indexed="64"/>
      </left>
      <right/>
      <top style="thin">
        <color theme="0" tint="-0.14996795556505021"/>
      </top>
      <bottom/>
      <diagonal/>
    </border>
    <border>
      <left/>
      <right style="thin">
        <color indexed="64"/>
      </right>
      <top style="double">
        <color indexed="64"/>
      </top>
      <bottom style="thin">
        <color theme="0" tint="-0.14996795556505021"/>
      </bottom>
      <diagonal/>
    </border>
    <border>
      <left style="thin">
        <color indexed="64"/>
      </left>
      <right/>
      <top style="double">
        <color auto="1"/>
      </top>
      <bottom style="thin">
        <color theme="0" tint="-0.14996795556505021"/>
      </bottom>
      <diagonal/>
    </border>
    <border>
      <left/>
      <right style="thin">
        <color indexed="64"/>
      </right>
      <top style="thin">
        <color theme="0" tint="-0.14996795556505021"/>
      </top>
      <bottom style="thin">
        <color indexed="64"/>
      </bottom>
      <diagonal/>
    </border>
    <border>
      <left/>
      <right/>
      <top/>
      <bottom style="dashed">
        <color indexed="64"/>
      </bottom>
      <diagonal/>
    </border>
    <border>
      <left/>
      <right/>
      <top style="thin">
        <color theme="0" tint="-0.14996795556505021"/>
      </top>
      <bottom style="dashed">
        <color indexed="64"/>
      </bottom>
      <diagonal/>
    </border>
    <border>
      <left/>
      <right style="thin">
        <color indexed="64"/>
      </right>
      <top style="thin">
        <color theme="0" tint="-0.14996795556505021"/>
      </top>
      <bottom style="dashed">
        <color indexed="64"/>
      </bottom>
      <diagonal/>
    </border>
    <border>
      <left/>
      <right/>
      <top style="hair">
        <color indexed="64"/>
      </top>
      <bottom style="dashed">
        <color auto="1"/>
      </bottom>
      <diagonal/>
    </border>
    <border>
      <left/>
      <right style="thin">
        <color indexed="64"/>
      </right>
      <top style="hair">
        <color indexed="64"/>
      </top>
      <bottom style="dashed">
        <color auto="1"/>
      </bottom>
      <diagonal/>
    </border>
    <border>
      <left style="thin">
        <color indexed="64"/>
      </left>
      <right/>
      <top style="thin">
        <color theme="0" tint="-0.14996795556505021"/>
      </top>
      <bottom style="dashed">
        <color indexed="64"/>
      </bottom>
      <diagonal/>
    </border>
    <border>
      <left style="thin">
        <color indexed="64"/>
      </left>
      <right/>
      <top style="thin">
        <color theme="0" tint="-0.14996795556505021"/>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ashed">
        <color auto="1"/>
      </bottom>
      <diagonal/>
    </border>
    <border>
      <left style="thin">
        <color indexed="64"/>
      </left>
      <right/>
      <top style="double">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theme="0" tint="-0.14996795556505021"/>
      </top>
      <bottom style="thin">
        <color theme="0" tint="-0.14996795556505021"/>
      </bottom>
      <diagonal/>
    </border>
    <border>
      <left/>
      <right style="hair">
        <color indexed="64"/>
      </right>
      <top style="thin">
        <color indexed="64"/>
      </top>
      <bottom style="hair">
        <color indexed="64"/>
      </bottom>
      <diagonal/>
    </border>
    <border>
      <left/>
      <right/>
      <top style="dashed">
        <color indexed="64"/>
      </top>
      <bottom style="hair">
        <color indexed="64"/>
      </bottom>
      <diagonal/>
    </border>
  </borders>
  <cellStyleXfs count="5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2" fillId="0" borderId="0"/>
    <xf numFmtId="0" fontId="4" fillId="0" borderId="0"/>
    <xf numFmtId="0" fontId="2" fillId="4" borderId="7" applyNumberFormat="0" applyFont="0" applyAlignment="0" applyProtection="0"/>
    <xf numFmtId="0" fontId="18" fillId="16"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16" fillId="0" borderId="0" applyNumberFormat="0" applyFill="0" applyBorder="0" applyAlignment="0" applyProtection="0"/>
    <xf numFmtId="171" fontId="3" fillId="0" borderId="0"/>
    <xf numFmtId="171" fontId="2" fillId="0" borderId="0"/>
    <xf numFmtId="0" fontId="1" fillId="0" borderId="0"/>
    <xf numFmtId="0" fontId="3" fillId="0" borderId="0"/>
    <xf numFmtId="0" fontId="24" fillId="0" borderId="0"/>
    <xf numFmtId="0" fontId="2" fillId="0" borderId="0"/>
    <xf numFmtId="0" fontId="2" fillId="0" borderId="0"/>
    <xf numFmtId="0" fontId="29" fillId="0" borderId="0" applyNumberFormat="0" applyFill="0" applyBorder="0" applyAlignment="0" applyProtection="0"/>
  </cellStyleXfs>
  <cellXfs count="571">
    <xf numFmtId="0" fontId="0" fillId="0" borderId="0" xfId="0"/>
    <xf numFmtId="0" fontId="30" fillId="0" borderId="0" xfId="0" applyFont="1" applyAlignment="1" applyProtection="1"/>
    <xf numFmtId="0" fontId="34" fillId="0" borderId="0" xfId="0" applyFont="1" applyAlignment="1" applyProtection="1">
      <alignment vertical="center"/>
    </xf>
    <xf numFmtId="0" fontId="28" fillId="0" borderId="0" xfId="0" applyFont="1" applyProtection="1"/>
    <xf numFmtId="0" fontId="35" fillId="0" borderId="0" xfId="0" applyFont="1" applyAlignment="1" applyProtection="1">
      <alignment vertical="center"/>
    </xf>
    <xf numFmtId="0" fontId="33" fillId="0" borderId="0" xfId="51" applyFont="1" applyAlignment="1" applyProtection="1">
      <alignment horizontal="left"/>
    </xf>
    <xf numFmtId="3" fontId="23" fillId="0" borderId="0" xfId="0" applyNumberFormat="1" applyFont="1" applyAlignment="1" applyProtection="1">
      <alignment horizontal="right"/>
    </xf>
    <xf numFmtId="0" fontId="23" fillId="0" borderId="0" xfId="0" applyFont="1" applyProtection="1"/>
    <xf numFmtId="0" fontId="22" fillId="0" borderId="0" xfId="0" applyFont="1" applyProtection="1"/>
    <xf numFmtId="0" fontId="21" fillId="0" borderId="0" xfId="0" applyFont="1" applyAlignment="1" applyProtection="1">
      <alignment wrapText="1"/>
    </xf>
    <xf numFmtId="0" fontId="23" fillId="0" borderId="0" xfId="0" applyFont="1" applyAlignment="1" applyProtection="1">
      <alignment horizontal="right"/>
    </xf>
    <xf numFmtId="3" fontId="23" fillId="0" borderId="0" xfId="0" applyNumberFormat="1" applyFont="1" applyProtection="1"/>
    <xf numFmtId="0" fontId="22" fillId="19" borderId="0" xfId="0" applyFont="1" applyFill="1" applyProtection="1"/>
    <xf numFmtId="0" fontId="21" fillId="0" borderId="0" xfId="0" applyFont="1" applyAlignment="1" applyProtection="1">
      <alignment vertical="top"/>
    </xf>
    <xf numFmtId="0" fontId="23" fillId="0" borderId="0" xfId="0" applyFont="1" applyAlignment="1" applyProtection="1">
      <alignment vertical="top"/>
    </xf>
    <xf numFmtId="0" fontId="23" fillId="0" borderId="0" xfId="0" applyFont="1" applyFill="1" applyProtection="1"/>
    <xf numFmtId="0" fontId="23" fillId="0" borderId="11" xfId="0" applyFont="1" applyBorder="1" applyProtection="1"/>
    <xf numFmtId="0" fontId="22" fillId="0" borderId="11" xfId="0" applyFont="1" applyBorder="1" applyAlignment="1" applyProtection="1">
      <alignment horizontal="right" wrapText="1"/>
    </xf>
    <xf numFmtId="0" fontId="22" fillId="0" borderId="0" xfId="0" applyFont="1" applyBorder="1" applyAlignment="1" applyProtection="1">
      <alignment horizontal="right"/>
    </xf>
    <xf numFmtId="0" fontId="22" fillId="0" borderId="11" xfId="0" applyFont="1" applyFill="1" applyBorder="1" applyAlignment="1" applyProtection="1">
      <alignment horizontal="right" wrapText="1"/>
    </xf>
    <xf numFmtId="0" fontId="23" fillId="20" borderId="0" xfId="0" applyFont="1" applyFill="1" applyAlignment="1" applyProtection="1">
      <alignment horizontal="center"/>
    </xf>
    <xf numFmtId="3" fontId="22" fillId="0" borderId="19" xfId="0" applyNumberFormat="1" applyFont="1" applyFill="1" applyBorder="1" applyAlignment="1" applyProtection="1">
      <alignment horizontal="right" vertical="center"/>
    </xf>
    <xf numFmtId="3" fontId="23" fillId="0" borderId="0" xfId="0" applyNumberFormat="1" applyFont="1" applyFill="1" applyAlignment="1" applyProtection="1">
      <alignment vertical="center"/>
    </xf>
    <xf numFmtId="3" fontId="22" fillId="0" borderId="19" xfId="0" applyNumberFormat="1" applyFont="1" applyFill="1" applyBorder="1" applyAlignment="1" applyProtection="1">
      <alignment vertical="center"/>
    </xf>
    <xf numFmtId="3" fontId="23" fillId="0" borderId="0" xfId="0" applyNumberFormat="1" applyFont="1" applyFill="1" applyProtection="1"/>
    <xf numFmtId="0" fontId="23" fillId="19" borderId="0" xfId="0" applyFont="1" applyFill="1" applyAlignment="1" applyProtection="1">
      <alignment horizontal="center" vertical="center"/>
    </xf>
    <xf numFmtId="0" fontId="22" fillId="0" borderId="0" xfId="0" applyFont="1" applyFill="1" applyProtection="1"/>
    <xf numFmtId="0" fontId="22" fillId="0" borderId="0" xfId="0" applyFont="1" applyFill="1" applyAlignment="1" applyProtection="1"/>
    <xf numFmtId="3" fontId="23" fillId="0" borderId="0" xfId="0" applyNumberFormat="1" applyFont="1" applyFill="1" applyAlignment="1" applyProtection="1">
      <alignment horizontal="right"/>
    </xf>
    <xf numFmtId="0" fontId="23" fillId="0" borderId="0" xfId="0" applyFont="1" applyFill="1" applyAlignment="1" applyProtection="1">
      <alignment horizontal="center" vertical="center"/>
    </xf>
    <xf numFmtId="0" fontId="23" fillId="0" borderId="0" xfId="51" applyFont="1" applyFill="1" applyProtection="1"/>
    <xf numFmtId="3" fontId="23" fillId="0" borderId="0" xfId="0" applyNumberFormat="1" applyFont="1" applyFill="1" applyAlignment="1" applyProtection="1">
      <alignment horizontal="right" vertical="center"/>
    </xf>
    <xf numFmtId="3" fontId="23" fillId="0" borderId="0" xfId="0" applyNumberFormat="1" applyFont="1" applyFill="1" applyAlignment="1" applyProtection="1">
      <alignment wrapText="1"/>
    </xf>
    <xf numFmtId="0" fontId="23" fillId="0" borderId="13" xfId="0" applyFont="1" applyFill="1" applyBorder="1" applyAlignment="1" applyProtection="1">
      <alignment vertical="center"/>
    </xf>
    <xf numFmtId="0" fontId="22" fillId="0" borderId="13" xfId="0" applyFont="1" applyFill="1" applyBorder="1" applyAlignment="1" applyProtection="1">
      <alignment vertical="center"/>
    </xf>
    <xf numFmtId="3" fontId="22" fillId="0" borderId="13" xfId="0" applyNumberFormat="1" applyFont="1" applyFill="1" applyBorder="1" applyAlignment="1" applyProtection="1">
      <alignment horizontal="right" vertical="center"/>
    </xf>
    <xf numFmtId="3" fontId="22" fillId="0" borderId="13" xfId="0" applyNumberFormat="1" applyFont="1" applyFill="1" applyBorder="1" applyAlignment="1" applyProtection="1">
      <alignment vertical="center"/>
    </xf>
    <xf numFmtId="0" fontId="21" fillId="0" borderId="24" xfId="0" applyFont="1" applyFill="1" applyBorder="1" applyAlignment="1" applyProtection="1">
      <alignment horizontal="left" vertical="center"/>
    </xf>
    <xf numFmtId="0" fontId="22" fillId="0" borderId="24" xfId="0" applyFont="1" applyFill="1" applyBorder="1" applyProtection="1"/>
    <xf numFmtId="3" fontId="21" fillId="0" borderId="24" xfId="0" applyNumberFormat="1" applyFont="1" applyFill="1" applyBorder="1" applyAlignment="1" applyProtection="1">
      <alignment horizontal="right" vertical="center"/>
    </xf>
    <xf numFmtId="3" fontId="21" fillId="0" borderId="24" xfId="0" applyNumberFormat="1" applyFont="1" applyFill="1" applyBorder="1" applyAlignment="1" applyProtection="1">
      <alignment vertical="center"/>
    </xf>
    <xf numFmtId="3" fontId="23" fillId="0" borderId="0" xfId="0" applyNumberFormat="1" applyFont="1" applyFill="1" applyBorder="1" applyAlignment="1" applyProtection="1">
      <alignment horizontal="right"/>
    </xf>
    <xf numFmtId="3" fontId="23" fillId="0" borderId="0" xfId="0" applyNumberFormat="1" applyFont="1" applyFill="1" applyBorder="1" applyProtection="1"/>
    <xf numFmtId="3" fontId="25" fillId="0" borderId="0" xfId="0" applyNumberFormat="1" applyFont="1" applyFill="1" applyBorder="1" applyProtection="1"/>
    <xf numFmtId="0" fontId="23" fillId="0" borderId="0" xfId="0" applyFont="1" applyFill="1" applyAlignment="1" applyProtection="1">
      <alignment horizontal="center"/>
    </xf>
    <xf numFmtId="0" fontId="23" fillId="0" borderId="0" xfId="0" applyFont="1" applyFill="1" applyBorder="1" applyAlignment="1" applyProtection="1">
      <alignment horizontal="right"/>
    </xf>
    <xf numFmtId="0" fontId="25" fillId="0" borderId="0" xfId="0" applyFont="1" applyFill="1" applyProtection="1"/>
    <xf numFmtId="0" fontId="23" fillId="0" borderId="0" xfId="0" applyFont="1" applyFill="1" applyBorder="1" applyProtection="1"/>
    <xf numFmtId="0" fontId="22" fillId="0" borderId="0" xfId="0" applyFont="1" applyFill="1" applyBorder="1" applyProtection="1"/>
    <xf numFmtId="3" fontId="25" fillId="0" borderId="0" xfId="0" applyNumberFormat="1" applyFont="1" applyFill="1" applyAlignment="1" applyProtection="1">
      <alignment horizontal="right"/>
    </xf>
    <xf numFmtId="0" fontId="22" fillId="0" borderId="0" xfId="0" applyFont="1" applyFill="1" applyBorder="1" applyAlignment="1" applyProtection="1">
      <alignment vertical="center"/>
    </xf>
    <xf numFmtId="0" fontId="23" fillId="0" borderId="12" xfId="0" applyFont="1" applyFill="1" applyBorder="1" applyAlignment="1" applyProtection="1">
      <alignment vertical="center"/>
    </xf>
    <xf numFmtId="0" fontId="26" fillId="0" borderId="12" xfId="0" applyFont="1" applyFill="1" applyBorder="1" applyAlignment="1" applyProtection="1">
      <alignment vertical="center"/>
    </xf>
    <xf numFmtId="0" fontId="22" fillId="0" borderId="0" xfId="0" applyFont="1" applyFill="1" applyBorder="1" applyAlignment="1" applyProtection="1"/>
    <xf numFmtId="3" fontId="22" fillId="0" borderId="0" xfId="0" applyNumberFormat="1" applyFont="1" applyFill="1" applyBorder="1" applyAlignment="1" applyProtection="1">
      <alignment horizontal="right"/>
    </xf>
    <xf numFmtId="0" fontId="23" fillId="0" borderId="18" xfId="0" applyFont="1" applyFill="1" applyBorder="1" applyAlignment="1" applyProtection="1">
      <alignment vertical="center"/>
    </xf>
    <xf numFmtId="0" fontId="26" fillId="0" borderId="18" xfId="0" applyFont="1" applyFill="1" applyBorder="1" applyAlignment="1" applyProtection="1">
      <alignment vertical="center"/>
    </xf>
    <xf numFmtId="3" fontId="23" fillId="0" borderId="18" xfId="0" applyNumberFormat="1" applyFont="1" applyFill="1" applyBorder="1" applyAlignment="1" applyProtection="1">
      <alignment horizontal="right" vertical="center"/>
    </xf>
    <xf numFmtId="3" fontId="23" fillId="19" borderId="0" xfId="0" applyNumberFormat="1" applyFont="1" applyFill="1" applyAlignment="1" applyProtection="1">
      <alignment horizontal="center"/>
    </xf>
    <xf numFmtId="3" fontId="23" fillId="0" borderId="0" xfId="0" applyNumberFormat="1" applyFont="1" applyFill="1" applyAlignment="1" applyProtection="1">
      <alignment horizontal="center"/>
    </xf>
    <xf numFmtId="3" fontId="23" fillId="0" borderId="0" xfId="0" applyNumberFormat="1" applyFont="1" applyAlignment="1" applyProtection="1">
      <alignment horizontal="center"/>
    </xf>
    <xf numFmtId="15" fontId="23" fillId="0" borderId="0" xfId="0" applyNumberFormat="1" applyFont="1" applyAlignment="1" applyProtection="1">
      <alignment horizontal="right"/>
    </xf>
    <xf numFmtId="0" fontId="21" fillId="0" borderId="0" xfId="0" applyFont="1" applyFill="1" applyAlignment="1" applyProtection="1">
      <alignment vertical="top"/>
    </xf>
    <xf numFmtId="0" fontId="23" fillId="0" borderId="10" xfId="0" applyFont="1" applyBorder="1" applyProtection="1"/>
    <xf numFmtId="0" fontId="23" fillId="0" borderId="0" xfId="0" applyFont="1" applyAlignment="1" applyProtection="1">
      <alignment wrapText="1"/>
    </xf>
    <xf numFmtId="0" fontId="23" fillId="0" borderId="14" xfId="0" applyFont="1" applyFill="1" applyBorder="1" applyProtection="1"/>
    <xf numFmtId="4" fontId="23" fillId="0" borderId="56" xfId="0" applyNumberFormat="1" applyFont="1" applyFill="1" applyBorder="1" applyProtection="1"/>
    <xf numFmtId="4" fontId="23" fillId="21" borderId="45" xfId="0" applyNumberFormat="1" applyFont="1" applyFill="1" applyBorder="1" applyProtection="1"/>
    <xf numFmtId="4" fontId="23" fillId="0" borderId="45" xfId="0" applyNumberFormat="1" applyFont="1" applyFill="1" applyBorder="1" applyProtection="1"/>
    <xf numFmtId="3" fontId="23" fillId="0" borderId="45" xfId="0" applyNumberFormat="1" applyFont="1" applyFill="1" applyBorder="1" applyProtection="1"/>
    <xf numFmtId="0" fontId="23" fillId="19" borderId="0" xfId="0" applyFont="1" applyFill="1" applyBorder="1" applyAlignment="1" applyProtection="1">
      <alignment horizontal="center"/>
    </xf>
    <xf numFmtId="0" fontId="23" fillId="18" borderId="0" xfId="0" applyFont="1" applyFill="1" applyProtection="1"/>
    <xf numFmtId="4" fontId="23" fillId="0" borderId="87" xfId="0" applyNumberFormat="1" applyFont="1" applyFill="1" applyBorder="1" applyProtection="1"/>
    <xf numFmtId="4" fontId="23" fillId="0" borderId="46" xfId="0" applyNumberFormat="1" applyFont="1" applyFill="1" applyBorder="1" applyProtection="1"/>
    <xf numFmtId="3" fontId="23" fillId="0" borderId="46" xfId="0" applyNumberFormat="1" applyFont="1" applyFill="1" applyBorder="1" applyProtection="1"/>
    <xf numFmtId="0" fontId="23" fillId="0" borderId="12" xfId="0" applyFont="1" applyFill="1" applyBorder="1" applyProtection="1"/>
    <xf numFmtId="0" fontId="23" fillId="0" borderId="12" xfId="0" applyFont="1" applyFill="1" applyBorder="1" applyAlignment="1" applyProtection="1">
      <alignment horizontal="right"/>
    </xf>
    <xf numFmtId="4" fontId="23" fillId="0" borderId="62" xfId="0" applyNumberFormat="1" applyFont="1" applyFill="1" applyBorder="1" applyProtection="1"/>
    <xf numFmtId="4" fontId="23" fillId="0" borderId="47" xfId="0" applyNumberFormat="1" applyFont="1" applyFill="1" applyBorder="1" applyProtection="1"/>
    <xf numFmtId="3" fontId="23" fillId="0" borderId="47" xfId="0" applyNumberFormat="1" applyFont="1" applyFill="1" applyBorder="1" applyProtection="1"/>
    <xf numFmtId="0" fontId="23" fillId="0" borderId="20" xfId="0" applyFont="1" applyFill="1" applyBorder="1" applyProtection="1"/>
    <xf numFmtId="0" fontId="23" fillId="0" borderId="20" xfId="0" applyFont="1" applyFill="1" applyBorder="1" applyAlignment="1" applyProtection="1">
      <alignment horizontal="right"/>
    </xf>
    <xf numFmtId="4" fontId="23" fillId="0" borderId="66" xfId="0" applyNumberFormat="1" applyFont="1" applyFill="1" applyBorder="1" applyProtection="1"/>
    <xf numFmtId="4" fontId="23" fillId="21" borderId="48" xfId="0" applyNumberFormat="1" applyFont="1" applyFill="1" applyBorder="1" applyProtection="1"/>
    <xf numFmtId="4" fontId="23" fillId="0" borderId="48" xfId="0" applyNumberFormat="1" applyFont="1" applyFill="1" applyBorder="1" applyProtection="1"/>
    <xf numFmtId="3" fontId="23" fillId="0" borderId="48" xfId="0" applyNumberFormat="1" applyFont="1" applyFill="1" applyBorder="1" applyProtection="1"/>
    <xf numFmtId="0" fontId="23" fillId="0" borderId="13" xfId="0" applyFont="1" applyFill="1" applyBorder="1" applyProtection="1"/>
    <xf numFmtId="0" fontId="23" fillId="0" borderId="13" xfId="0" applyFont="1" applyFill="1" applyBorder="1" applyAlignment="1" applyProtection="1">
      <alignment horizontal="right"/>
    </xf>
    <xf numFmtId="4" fontId="23" fillId="0" borderId="78" xfId="0" applyNumberFormat="1" applyFont="1" applyFill="1" applyBorder="1" applyProtection="1"/>
    <xf numFmtId="4" fontId="23" fillId="0" borderId="49" xfId="0" applyNumberFormat="1" applyFont="1" applyFill="1" applyBorder="1" applyProtection="1"/>
    <xf numFmtId="3" fontId="23" fillId="0" borderId="49" xfId="0" applyNumberFormat="1" applyFont="1" applyFill="1" applyBorder="1" applyProtection="1"/>
    <xf numFmtId="4" fontId="23" fillId="0" borderId="64" xfId="0" applyNumberFormat="1" applyFont="1" applyFill="1" applyBorder="1" applyProtection="1"/>
    <xf numFmtId="4" fontId="23" fillId="0" borderId="50" xfId="0" applyNumberFormat="1" applyFont="1" applyFill="1" applyBorder="1" applyProtection="1"/>
    <xf numFmtId="3" fontId="23" fillId="0" borderId="50" xfId="0" applyNumberFormat="1" applyFont="1" applyFill="1" applyBorder="1" applyProtection="1"/>
    <xf numFmtId="0" fontId="23" fillId="0" borderId="0" xfId="0" applyFont="1" applyFill="1" applyBorder="1" applyAlignment="1" applyProtection="1">
      <alignment wrapText="1"/>
    </xf>
    <xf numFmtId="4" fontId="23" fillId="0" borderId="68" xfId="0" applyNumberFormat="1" applyFont="1" applyFill="1" applyBorder="1" applyProtection="1"/>
    <xf numFmtId="0" fontId="22" fillId="0" borderId="39" xfId="0" applyFont="1" applyBorder="1" applyProtection="1"/>
    <xf numFmtId="0" fontId="22" fillId="0" borderId="39" xfId="0" applyFont="1" applyBorder="1" applyAlignment="1" applyProtection="1">
      <alignment horizontal="right"/>
    </xf>
    <xf numFmtId="4" fontId="23" fillId="0" borderId="70" xfId="0" applyNumberFormat="1" applyFont="1" applyFill="1" applyBorder="1" applyProtection="1"/>
    <xf numFmtId="4" fontId="23" fillId="0" borderId="52" xfId="0" applyNumberFormat="1" applyFont="1" applyFill="1" applyBorder="1" applyProtection="1"/>
    <xf numFmtId="3" fontId="23" fillId="0" borderId="52" xfId="0" applyNumberFormat="1" applyFont="1" applyFill="1" applyBorder="1" applyProtection="1"/>
    <xf numFmtId="0" fontId="22" fillId="0" borderId="0" xfId="0" applyFont="1" applyBorder="1" applyProtection="1"/>
    <xf numFmtId="0" fontId="22" fillId="0" borderId="13" xfId="0" applyFont="1" applyBorder="1" applyAlignment="1" applyProtection="1">
      <alignment horizontal="right"/>
    </xf>
    <xf numFmtId="4" fontId="23" fillId="0" borderId="51" xfId="0" applyNumberFormat="1" applyFont="1" applyFill="1" applyBorder="1" applyProtection="1"/>
    <xf numFmtId="3" fontId="23" fillId="0" borderId="51" xfId="0" applyNumberFormat="1" applyFont="1" applyFill="1" applyBorder="1" applyProtection="1"/>
    <xf numFmtId="0" fontId="23" fillId="0" borderId="18" xfId="0" applyFont="1" applyBorder="1" applyAlignment="1" applyProtection="1">
      <alignment vertical="center"/>
    </xf>
    <xf numFmtId="0" fontId="22" fillId="0" borderId="24" xfId="0" applyFont="1" applyBorder="1" applyAlignment="1" applyProtection="1">
      <alignment horizontal="right" vertical="center"/>
    </xf>
    <xf numFmtId="4" fontId="23" fillId="0" borderId="44" xfId="0" applyNumberFormat="1" applyFont="1" applyBorder="1" applyAlignment="1" applyProtection="1">
      <alignment vertical="center"/>
    </xf>
    <xf numFmtId="4" fontId="23" fillId="0" borderId="24" xfId="0" applyNumberFormat="1" applyFont="1" applyBorder="1" applyAlignment="1" applyProtection="1">
      <alignment vertical="center"/>
    </xf>
    <xf numFmtId="4" fontId="23" fillId="0" borderId="24" xfId="0" applyNumberFormat="1" applyFont="1" applyFill="1" applyBorder="1" applyAlignment="1" applyProtection="1">
      <alignment vertical="center"/>
    </xf>
    <xf numFmtId="3" fontId="23" fillId="0" borderId="24" xfId="0" applyNumberFormat="1" applyFont="1" applyFill="1" applyBorder="1" applyAlignment="1" applyProtection="1">
      <alignment vertical="center"/>
    </xf>
    <xf numFmtId="0" fontId="23" fillId="0" borderId="0" xfId="0" applyFont="1" applyAlignment="1" applyProtection="1">
      <alignment horizontal="center"/>
    </xf>
    <xf numFmtId="0" fontId="23" fillId="19" borderId="0" xfId="0" applyFont="1" applyFill="1" applyAlignment="1" applyProtection="1">
      <alignment horizontal="center"/>
    </xf>
    <xf numFmtId="0" fontId="23" fillId="0" borderId="0" xfId="0" applyFont="1" applyBorder="1" applyProtection="1"/>
    <xf numFmtId="0" fontId="23" fillId="0" borderId="0" xfId="38" applyFont="1" applyAlignment="1" applyProtection="1">
      <alignment horizontal="right"/>
    </xf>
    <xf numFmtId="0" fontId="23" fillId="0" borderId="0" xfId="38" applyFont="1" applyAlignment="1" applyProtection="1">
      <alignment horizontal="left"/>
    </xf>
    <xf numFmtId="0" fontId="23" fillId="0" borderId="0" xfId="38" applyFont="1" applyAlignment="1" applyProtection="1">
      <alignment horizontal="center"/>
    </xf>
    <xf numFmtId="0" fontId="23" fillId="0" borderId="0" xfId="38" applyFont="1" applyFill="1" applyAlignment="1" applyProtection="1">
      <alignment horizontal="left"/>
    </xf>
    <xf numFmtId="0" fontId="23" fillId="0" borderId="0" xfId="38" applyFont="1" applyProtection="1"/>
    <xf numFmtId="0" fontId="21" fillId="0" borderId="0" xfId="38" applyFont="1" applyFill="1" applyAlignment="1" applyProtection="1">
      <alignment horizontal="left"/>
    </xf>
    <xf numFmtId="3" fontId="23" fillId="0" borderId="0" xfId="38" applyNumberFormat="1" applyFont="1" applyAlignment="1" applyProtection="1">
      <alignment horizontal="right"/>
    </xf>
    <xf numFmtId="0" fontId="22" fillId="0" borderId="0" xfId="38" applyFont="1" applyBorder="1" applyAlignment="1" applyProtection="1">
      <alignment horizontal="right"/>
    </xf>
    <xf numFmtId="3" fontId="23" fillId="0" borderId="0" xfId="38" applyNumberFormat="1" applyFont="1" applyFill="1" applyAlignment="1" applyProtection="1">
      <alignment horizontal="left"/>
    </xf>
    <xf numFmtId="3" fontId="23" fillId="0" borderId="0" xfId="38" applyNumberFormat="1" applyFont="1" applyAlignment="1" applyProtection="1">
      <alignment horizontal="left"/>
    </xf>
    <xf numFmtId="3" fontId="23" fillId="0" borderId="0" xfId="38" applyNumberFormat="1" applyFont="1" applyAlignment="1" applyProtection="1">
      <alignment horizontal="center"/>
    </xf>
    <xf numFmtId="0" fontId="23" fillId="0" borderId="11" xfId="38" applyFont="1" applyBorder="1" applyAlignment="1" applyProtection="1">
      <alignment horizontal="left"/>
    </xf>
    <xf numFmtId="0" fontId="23" fillId="0" borderId="11" xfId="38" applyFont="1" applyBorder="1" applyAlignment="1" applyProtection="1">
      <alignment horizontal="right"/>
    </xf>
    <xf numFmtId="0" fontId="23" fillId="0" borderId="11" xfId="38" applyFont="1" applyBorder="1" applyAlignment="1" applyProtection="1">
      <alignment horizontal="right" wrapText="1"/>
    </xf>
    <xf numFmtId="0" fontId="23" fillId="0" borderId="11" xfId="0" applyFont="1" applyBorder="1" applyAlignment="1" applyProtection="1">
      <alignment horizontal="right" wrapText="1"/>
    </xf>
    <xf numFmtId="3" fontId="23" fillId="20" borderId="0" xfId="38" applyNumberFormat="1" applyFont="1" applyFill="1" applyAlignment="1" applyProtection="1">
      <alignment horizontal="center"/>
    </xf>
    <xf numFmtId="0" fontId="22" fillId="0" borderId="0" xfId="38" applyFont="1" applyFill="1" applyProtection="1"/>
    <xf numFmtId="0" fontId="23" fillId="0" borderId="0" xfId="38" applyFont="1" applyFill="1" applyProtection="1"/>
    <xf numFmtId="0" fontId="23" fillId="0" borderId="14" xfId="38" applyFont="1" applyBorder="1" applyAlignment="1" applyProtection="1">
      <alignment horizontal="left" vertical="center"/>
    </xf>
    <xf numFmtId="3" fontId="23" fillId="0" borderId="14" xfId="38" applyNumberFormat="1" applyFont="1" applyBorder="1" applyAlignment="1" applyProtection="1">
      <alignment horizontal="right" vertical="center"/>
    </xf>
    <xf numFmtId="3" fontId="23" fillId="0" borderId="0" xfId="38" applyNumberFormat="1" applyFont="1" applyAlignment="1" applyProtection="1">
      <alignment horizontal="right" vertical="center"/>
    </xf>
    <xf numFmtId="3" fontId="23" fillId="0" borderId="0" xfId="38" applyNumberFormat="1" applyFont="1" applyBorder="1" applyAlignment="1" applyProtection="1">
      <alignment horizontal="right"/>
    </xf>
    <xf numFmtId="3" fontId="23" fillId="19" borderId="0" xfId="38" applyNumberFormat="1" applyFont="1" applyFill="1" applyAlignment="1" applyProtection="1">
      <alignment horizontal="center"/>
    </xf>
    <xf numFmtId="0" fontId="23" fillId="18" borderId="0" xfId="38" applyFont="1" applyFill="1" applyProtection="1"/>
    <xf numFmtId="0" fontId="23" fillId="0" borderId="0" xfId="38" applyFont="1" applyBorder="1" applyAlignment="1" applyProtection="1">
      <alignment horizontal="left" vertical="center"/>
    </xf>
    <xf numFmtId="0" fontId="23" fillId="0" borderId="12" xfId="38" applyFont="1" applyBorder="1" applyAlignment="1" applyProtection="1">
      <alignment horizontal="left" vertical="center"/>
    </xf>
    <xf numFmtId="3" fontId="23" fillId="0" borderId="12" xfId="38" applyNumberFormat="1" applyFont="1" applyBorder="1" applyAlignment="1" applyProtection="1">
      <alignment horizontal="right" vertical="center"/>
    </xf>
    <xf numFmtId="0" fontId="23" fillId="0" borderId="13" xfId="38" applyFont="1" applyBorder="1" applyAlignment="1" applyProtection="1">
      <alignment horizontal="left" vertical="center"/>
    </xf>
    <xf numFmtId="3" fontId="23" fillId="0" borderId="0" xfId="38" applyNumberFormat="1" applyFont="1" applyFill="1" applyAlignment="1" applyProtection="1">
      <alignment horizontal="center"/>
    </xf>
    <xf numFmtId="164" fontId="23" fillId="0" borderId="14" xfId="38" applyNumberFormat="1" applyFont="1" applyFill="1" applyBorder="1" applyAlignment="1" applyProtection="1">
      <alignment horizontal="right" vertical="center"/>
    </xf>
    <xf numFmtId="164" fontId="23" fillId="0" borderId="0" xfId="38" applyNumberFormat="1" applyFont="1" applyFill="1" applyAlignment="1" applyProtection="1">
      <alignment horizontal="right" vertical="center"/>
    </xf>
    <xf numFmtId="4" fontId="23" fillId="0" borderId="12" xfId="38" applyNumberFormat="1" applyFont="1" applyBorder="1" applyAlignment="1" applyProtection="1">
      <alignment horizontal="right" vertical="center"/>
    </xf>
    <xf numFmtId="4" fontId="23" fillId="0" borderId="0" xfId="38" applyNumberFormat="1" applyFont="1" applyBorder="1" applyAlignment="1" applyProtection="1">
      <alignment horizontal="right"/>
    </xf>
    <xf numFmtId="168" fontId="23" fillId="0" borderId="0" xfId="38" applyNumberFormat="1" applyFont="1" applyAlignment="1" applyProtection="1">
      <alignment horizontal="left"/>
    </xf>
    <xf numFmtId="168" fontId="23" fillId="19" borderId="0" xfId="38" applyNumberFormat="1" applyFont="1" applyFill="1" applyAlignment="1" applyProtection="1">
      <alignment horizontal="center"/>
    </xf>
    <xf numFmtId="164" fontId="23" fillId="0" borderId="0" xfId="38" applyNumberFormat="1" applyFont="1" applyAlignment="1" applyProtection="1">
      <alignment horizontal="right" vertical="center"/>
    </xf>
    <xf numFmtId="4" fontId="23" fillId="0" borderId="0" xfId="38" applyNumberFormat="1" applyFont="1" applyFill="1" applyBorder="1" applyAlignment="1" applyProtection="1">
      <alignment horizontal="right" vertical="center"/>
    </xf>
    <xf numFmtId="4" fontId="23" fillId="0" borderId="0" xfId="38" applyNumberFormat="1" applyFont="1" applyBorder="1" applyAlignment="1" applyProtection="1">
      <alignment horizontal="right" vertical="center"/>
    </xf>
    <xf numFmtId="4" fontId="23" fillId="0" borderId="13" xfId="38" applyNumberFormat="1" applyFont="1" applyBorder="1" applyAlignment="1" applyProtection="1">
      <alignment horizontal="right" vertical="center"/>
    </xf>
    <xf numFmtId="3" fontId="22" fillId="0" borderId="0" xfId="38" applyNumberFormat="1" applyFont="1" applyBorder="1" applyAlignment="1" applyProtection="1">
      <alignment horizontal="right"/>
    </xf>
    <xf numFmtId="3" fontId="22" fillId="0" borderId="29" xfId="38" applyNumberFormat="1" applyFont="1" applyBorder="1" applyAlignment="1" applyProtection="1">
      <alignment horizontal="right" vertical="center"/>
    </xf>
    <xf numFmtId="0" fontId="22" fillId="0" borderId="10" xfId="38" applyFont="1" applyBorder="1" applyAlignment="1" applyProtection="1">
      <alignment horizontal="right" vertical="center"/>
    </xf>
    <xf numFmtId="3" fontId="22" fillId="0" borderId="10" xfId="38" applyNumberFormat="1" applyFont="1" applyBorder="1" applyAlignment="1" applyProtection="1">
      <alignment horizontal="right"/>
    </xf>
    <xf numFmtId="0" fontId="22" fillId="0" borderId="0" xfId="38" applyFont="1" applyBorder="1" applyAlignment="1" applyProtection="1">
      <alignment horizontal="right" vertical="center"/>
    </xf>
    <xf numFmtId="0" fontId="0" fillId="0" borderId="0" xfId="0" applyProtection="1"/>
    <xf numFmtId="4" fontId="23" fillId="0" borderId="0" xfId="38" applyNumberFormat="1" applyFont="1" applyAlignment="1" applyProtection="1">
      <alignment horizontal="right" vertical="center"/>
    </xf>
    <xf numFmtId="0" fontId="23" fillId="0" borderId="10" xfId="38" applyFont="1" applyBorder="1" applyProtection="1"/>
    <xf numFmtId="4" fontId="23" fillId="0" borderId="10" xfId="38" applyNumberFormat="1" applyFont="1" applyBorder="1" applyAlignment="1" applyProtection="1">
      <alignment horizontal="right"/>
    </xf>
    <xf numFmtId="0" fontId="23" fillId="0" borderId="0" xfId="38" applyFont="1" applyBorder="1" applyProtection="1"/>
    <xf numFmtId="4" fontId="23" fillId="0" borderId="14" xfId="38" applyNumberFormat="1" applyFont="1" applyFill="1" applyBorder="1" applyAlignment="1" applyProtection="1">
      <alignment horizontal="right"/>
    </xf>
    <xf numFmtId="3" fontId="22" fillId="0" borderId="19" xfId="38" applyNumberFormat="1" applyFont="1" applyBorder="1" applyAlignment="1" applyProtection="1">
      <alignment horizontal="right"/>
    </xf>
    <xf numFmtId="3" fontId="22" fillId="0" borderId="29" xfId="38" applyNumberFormat="1" applyFont="1" applyBorder="1" applyAlignment="1" applyProtection="1">
      <alignment horizontal="right"/>
    </xf>
    <xf numFmtId="0" fontId="22" fillId="0" borderId="10" xfId="38" applyFont="1" applyBorder="1" applyAlignment="1" applyProtection="1">
      <alignment horizontal="right"/>
    </xf>
    <xf numFmtId="0" fontId="3" fillId="18" borderId="11" xfId="0" applyFont="1" applyFill="1" applyBorder="1" applyProtection="1"/>
    <xf numFmtId="0" fontId="3" fillId="18" borderId="11" xfId="0" applyFont="1" applyFill="1" applyBorder="1" applyAlignment="1" applyProtection="1">
      <alignment horizontal="right"/>
    </xf>
    <xf numFmtId="0" fontId="23" fillId="18" borderId="11" xfId="0" applyFont="1" applyFill="1" applyBorder="1" applyAlignment="1" applyProtection="1">
      <alignment horizontal="right"/>
    </xf>
    <xf numFmtId="0" fontId="23" fillId="18" borderId="11" xfId="0" applyFont="1" applyFill="1" applyBorder="1" applyAlignment="1" applyProtection="1">
      <alignment horizontal="right" wrapText="1"/>
    </xf>
    <xf numFmtId="2" fontId="23" fillId="0" borderId="12" xfId="38" applyNumberFormat="1" applyFont="1" applyBorder="1" applyAlignment="1" applyProtection="1">
      <alignment horizontal="right" vertical="center"/>
    </xf>
    <xf numFmtId="2" fontId="23" fillId="0" borderId="0" xfId="38" applyNumberFormat="1" applyFont="1" applyAlignment="1" applyProtection="1">
      <alignment horizontal="right" vertical="center"/>
    </xf>
    <xf numFmtId="172" fontId="23" fillId="0" borderId="0" xfId="38" applyNumberFormat="1" applyFont="1" applyProtection="1"/>
    <xf numFmtId="3" fontId="23" fillId="19" borderId="0" xfId="38" applyNumberFormat="1" applyFont="1" applyFill="1" applyBorder="1" applyAlignment="1" applyProtection="1">
      <alignment horizontal="center" vertical="center"/>
    </xf>
    <xf numFmtId="3" fontId="23" fillId="0" borderId="0" xfId="0" applyNumberFormat="1" applyFont="1" applyBorder="1" applyProtection="1"/>
    <xf numFmtId="3" fontId="23" fillId="0" borderId="0" xfId="0" applyNumberFormat="1" applyFont="1" applyBorder="1" applyAlignment="1" applyProtection="1">
      <alignment horizontal="center"/>
    </xf>
    <xf numFmtId="0" fontId="23" fillId="0" borderId="0" xfId="38" applyFont="1" applyFill="1" applyAlignment="1" applyProtection="1">
      <alignment horizontal="center"/>
    </xf>
    <xf numFmtId="0" fontId="23" fillId="0" borderId="13" xfId="0" applyFont="1" applyBorder="1" applyAlignment="1" applyProtection="1">
      <alignment horizontal="right"/>
    </xf>
    <xf numFmtId="0" fontId="23" fillId="0" borderId="15" xfId="0" applyFont="1" applyBorder="1" applyAlignment="1" applyProtection="1">
      <alignment horizontal="right" wrapText="1"/>
    </xf>
    <xf numFmtId="0" fontId="23" fillId="0" borderId="27" xfId="0" applyFont="1" applyBorder="1" applyAlignment="1" applyProtection="1">
      <alignment horizontal="right" wrapText="1"/>
    </xf>
    <xf numFmtId="0" fontId="23" fillId="20" borderId="0" xfId="0" applyFont="1" applyFill="1" applyAlignment="1" applyProtection="1">
      <alignment horizontal="center" vertical="center"/>
    </xf>
    <xf numFmtId="0" fontId="23" fillId="0" borderId="14" xfId="0" applyFont="1" applyBorder="1" applyAlignment="1" applyProtection="1">
      <alignment horizontal="right" vertical="center"/>
    </xf>
    <xf numFmtId="3" fontId="23" fillId="0" borderId="56" xfId="0" applyNumberFormat="1" applyFont="1" applyBorder="1" applyAlignment="1" applyProtection="1">
      <alignment vertical="center"/>
    </xf>
    <xf numFmtId="3" fontId="23" fillId="0" borderId="45" xfId="0" applyNumberFormat="1" applyFont="1" applyBorder="1" applyAlignment="1" applyProtection="1">
      <alignment vertical="center"/>
    </xf>
    <xf numFmtId="3" fontId="23" fillId="0" borderId="54" xfId="0" applyNumberFormat="1" applyFont="1" applyBorder="1" applyAlignment="1" applyProtection="1">
      <alignment vertical="center"/>
    </xf>
    <xf numFmtId="3" fontId="23" fillId="0" borderId="55" xfId="0" applyNumberFormat="1" applyFont="1" applyBorder="1" applyAlignment="1" applyProtection="1">
      <alignment vertical="center"/>
    </xf>
    <xf numFmtId="0" fontId="23" fillId="0" borderId="53" xfId="0" applyFont="1" applyBorder="1" applyAlignment="1" applyProtection="1">
      <alignment horizontal="right" vertical="center"/>
    </xf>
    <xf numFmtId="3" fontId="23" fillId="0" borderId="60" xfId="0" applyNumberFormat="1" applyFont="1" applyBorder="1" applyAlignment="1" applyProtection="1">
      <alignment vertical="center"/>
    </xf>
    <xf numFmtId="3" fontId="23" fillId="0" borderId="57" xfId="0" applyNumberFormat="1" applyFont="1" applyBorder="1" applyAlignment="1" applyProtection="1">
      <alignment vertical="center"/>
    </xf>
    <xf numFmtId="0" fontId="22" fillId="0" borderId="33" xfId="0" applyFont="1" applyBorder="1" applyAlignment="1" applyProtection="1">
      <alignment horizontal="right" vertical="center"/>
    </xf>
    <xf numFmtId="3" fontId="23" fillId="0" borderId="37" xfId="0" applyNumberFormat="1" applyFont="1" applyBorder="1" applyAlignment="1" applyProtection="1">
      <alignment vertical="center"/>
    </xf>
    <xf numFmtId="3" fontId="23" fillId="0" borderId="38" xfId="0" applyNumberFormat="1" applyFont="1" applyBorder="1" applyAlignment="1" applyProtection="1">
      <alignment vertical="center"/>
    </xf>
    <xf numFmtId="3" fontId="23" fillId="0" borderId="35" xfId="0" applyNumberFormat="1" applyFont="1" applyBorder="1" applyAlignment="1" applyProtection="1">
      <alignment vertical="center"/>
    </xf>
    <xf numFmtId="3" fontId="23" fillId="0" borderId="36" xfId="0" applyNumberFormat="1" applyFont="1" applyBorder="1" applyAlignment="1" applyProtection="1">
      <alignment vertical="center"/>
    </xf>
    <xf numFmtId="0" fontId="23" fillId="20" borderId="0" xfId="0" applyFont="1" applyFill="1" applyAlignment="1" applyProtection="1">
      <alignment horizontal="right" vertical="center"/>
    </xf>
    <xf numFmtId="0" fontId="21" fillId="0" borderId="0" xfId="0" applyFont="1" applyFill="1" applyAlignment="1" applyProtection="1"/>
    <xf numFmtId="0" fontId="23" fillId="0" borderId="10" xfId="49" applyFont="1" applyBorder="1" applyProtection="1"/>
    <xf numFmtId="0" fontId="23" fillId="0" borderId="0" xfId="49" applyFont="1" applyBorder="1" applyProtection="1"/>
    <xf numFmtId="0" fontId="23" fillId="0" borderId="0" xfId="49" applyFont="1" applyProtection="1"/>
    <xf numFmtId="0" fontId="23" fillId="0" borderId="0" xfId="49" applyFont="1" applyAlignment="1" applyProtection="1">
      <alignment horizontal="right"/>
    </xf>
    <xf numFmtId="0" fontId="23" fillId="0" borderId="42" xfId="50" applyFont="1" applyFill="1" applyBorder="1" applyAlignment="1" applyProtection="1">
      <alignment horizontal="right" wrapText="1"/>
    </xf>
    <xf numFmtId="0" fontId="23" fillId="0" borderId="17" xfId="50" applyFont="1" applyFill="1" applyBorder="1" applyAlignment="1" applyProtection="1">
      <alignment horizontal="right" wrapText="1"/>
    </xf>
    <xf numFmtId="0" fontId="23" fillId="20" borderId="0" xfId="50" applyFont="1" applyFill="1" applyBorder="1" applyAlignment="1" applyProtection="1">
      <alignment horizontal="center" vertical="center" wrapText="1"/>
    </xf>
    <xf numFmtId="0" fontId="23" fillId="0" borderId="14" xfId="49" applyFont="1" applyBorder="1" applyAlignment="1" applyProtection="1">
      <alignment vertical="center"/>
    </xf>
    <xf numFmtId="0" fontId="23" fillId="0" borderId="14" xfId="49" applyFont="1" applyBorder="1" applyAlignment="1" applyProtection="1">
      <alignment horizontal="right" vertical="center"/>
    </xf>
    <xf numFmtId="0" fontId="23" fillId="0" borderId="12" xfId="49" applyFont="1" applyBorder="1" applyAlignment="1" applyProtection="1">
      <alignment vertical="center"/>
    </xf>
    <xf numFmtId="0" fontId="23" fillId="0" borderId="12" xfId="49" applyFont="1" applyBorder="1" applyAlignment="1" applyProtection="1">
      <alignment horizontal="right" vertical="center"/>
    </xf>
    <xf numFmtId="0" fontId="23" fillId="0" borderId="0" xfId="49" applyFont="1" applyBorder="1" applyAlignment="1" applyProtection="1">
      <alignment vertical="center"/>
    </xf>
    <xf numFmtId="0" fontId="23" fillId="0" borderId="0" xfId="49" applyFont="1" applyBorder="1" applyAlignment="1" applyProtection="1">
      <alignment horizontal="right" vertical="center"/>
    </xf>
    <xf numFmtId="4" fontId="23" fillId="0" borderId="50" xfId="49" applyNumberFormat="1" applyFont="1" applyFill="1" applyBorder="1" applyAlignment="1" applyProtection="1">
      <alignment vertical="center"/>
    </xf>
    <xf numFmtId="4" fontId="23" fillId="0" borderId="63" xfId="49" applyNumberFormat="1" applyFont="1" applyFill="1" applyBorder="1" applyAlignment="1" applyProtection="1">
      <alignment vertical="center"/>
    </xf>
    <xf numFmtId="4" fontId="23" fillId="0" borderId="64" xfId="49" applyNumberFormat="1" applyFont="1" applyFill="1" applyBorder="1" applyAlignment="1" applyProtection="1">
      <alignment vertical="center"/>
    </xf>
    <xf numFmtId="4" fontId="23" fillId="0" borderId="47" xfId="49" applyNumberFormat="1" applyFont="1" applyFill="1" applyBorder="1" applyAlignment="1" applyProtection="1">
      <alignment vertical="center"/>
    </xf>
    <xf numFmtId="4" fontId="23" fillId="0" borderId="61" xfId="49" applyNumberFormat="1" applyFont="1" applyFill="1" applyBorder="1" applyAlignment="1" applyProtection="1">
      <alignment vertical="center"/>
    </xf>
    <xf numFmtId="3" fontId="23" fillId="0" borderId="47" xfId="49" applyNumberFormat="1" applyFont="1" applyFill="1" applyBorder="1" applyAlignment="1" applyProtection="1">
      <alignment vertical="center"/>
    </xf>
    <xf numFmtId="4" fontId="23" fillId="0" borderId="47" xfId="49" applyNumberFormat="1" applyFont="1" applyBorder="1" applyAlignment="1" applyProtection="1">
      <alignment vertical="center"/>
    </xf>
    <xf numFmtId="3" fontId="23" fillId="0" borderId="47" xfId="49" applyNumberFormat="1" applyFont="1" applyBorder="1" applyAlignment="1" applyProtection="1">
      <alignment vertical="center"/>
    </xf>
    <xf numFmtId="4" fontId="23" fillId="0" borderId="64" xfId="49" applyNumberFormat="1" applyFont="1" applyBorder="1" applyAlignment="1" applyProtection="1">
      <alignment vertical="center"/>
    </xf>
    <xf numFmtId="4" fontId="23" fillId="0" borderId="50" xfId="49" applyNumberFormat="1" applyFont="1" applyBorder="1" applyAlignment="1" applyProtection="1">
      <alignment vertical="center"/>
    </xf>
    <xf numFmtId="3" fontId="23" fillId="0" borderId="50" xfId="49" applyNumberFormat="1" applyFont="1" applyBorder="1" applyAlignment="1" applyProtection="1">
      <alignment vertical="center"/>
    </xf>
    <xf numFmtId="0" fontId="23" fillId="0" borderId="20" xfId="49" applyFont="1" applyBorder="1" applyAlignment="1" applyProtection="1">
      <alignment vertical="center"/>
    </xf>
    <xf numFmtId="0" fontId="23" fillId="0" borderId="20" xfId="49" applyFont="1" applyBorder="1" applyAlignment="1" applyProtection="1">
      <alignment horizontal="right" vertical="center"/>
    </xf>
    <xf numFmtId="4" fontId="23" fillId="0" borderId="66" xfId="49" applyNumberFormat="1" applyFont="1" applyFill="1" applyBorder="1" applyAlignment="1" applyProtection="1">
      <alignment vertical="center"/>
    </xf>
    <xf numFmtId="4" fontId="23" fillId="0" borderId="48" xfId="49" applyNumberFormat="1" applyFont="1" applyFill="1" applyBorder="1" applyAlignment="1" applyProtection="1">
      <alignment vertical="center"/>
    </xf>
    <xf numFmtId="4" fontId="23" fillId="0" borderId="65" xfId="49" applyNumberFormat="1" applyFont="1" applyFill="1" applyBorder="1" applyAlignment="1" applyProtection="1">
      <alignment vertical="center"/>
    </xf>
    <xf numFmtId="4" fontId="23" fillId="0" borderId="66" xfId="49" applyNumberFormat="1" applyFont="1" applyBorder="1" applyAlignment="1" applyProtection="1">
      <alignment vertical="center"/>
    </xf>
    <xf numFmtId="4" fontId="23" fillId="0" borderId="48" xfId="49" applyNumberFormat="1" applyFont="1" applyBorder="1" applyAlignment="1" applyProtection="1">
      <alignment vertical="center"/>
    </xf>
    <xf numFmtId="3" fontId="23" fillId="0" borderId="48" xfId="49" applyNumberFormat="1" applyFont="1" applyBorder="1" applyAlignment="1" applyProtection="1">
      <alignment vertical="center"/>
    </xf>
    <xf numFmtId="4" fontId="23" fillId="0" borderId="65" xfId="49" applyNumberFormat="1" applyFont="1" applyBorder="1" applyAlignment="1" applyProtection="1">
      <alignment vertical="center"/>
    </xf>
    <xf numFmtId="4" fontId="23" fillId="0" borderId="61" xfId="49" applyNumberFormat="1" applyFont="1" applyBorder="1" applyAlignment="1" applyProtection="1">
      <alignment vertical="center"/>
    </xf>
    <xf numFmtId="4" fontId="23" fillId="0" borderId="51" xfId="49" applyNumberFormat="1" applyFont="1" applyBorder="1" applyAlignment="1" applyProtection="1">
      <alignment vertical="center"/>
    </xf>
    <xf numFmtId="4" fontId="23" fillId="0" borderId="67" xfId="49" applyNumberFormat="1" applyFont="1" applyBorder="1" applyAlignment="1" applyProtection="1">
      <alignment vertical="center"/>
    </xf>
    <xf numFmtId="3" fontId="23" fillId="0" borderId="51" xfId="49" applyNumberFormat="1" applyFont="1" applyBorder="1" applyAlignment="1" applyProtection="1">
      <alignment vertical="center"/>
    </xf>
    <xf numFmtId="0" fontId="22" fillId="0" borderId="39" xfId="0" applyFont="1" applyBorder="1" applyAlignment="1" applyProtection="1">
      <alignment horizontal="left" vertical="center" wrapText="1"/>
    </xf>
    <xf numFmtId="0" fontId="22" fillId="0" borderId="39" xfId="0" applyFont="1" applyBorder="1" applyAlignment="1" applyProtection="1">
      <alignment horizontal="right" vertical="center" wrapText="1"/>
    </xf>
    <xf numFmtId="4" fontId="23" fillId="0" borderId="70" xfId="0" applyNumberFormat="1" applyFont="1" applyBorder="1" applyAlignment="1" applyProtection="1">
      <alignment vertical="center" wrapText="1"/>
    </xf>
    <xf numFmtId="4" fontId="23" fillId="0" borderId="52" xfId="0" applyNumberFormat="1" applyFont="1" applyBorder="1" applyAlignment="1" applyProtection="1">
      <alignment vertical="center" wrapText="1"/>
    </xf>
    <xf numFmtId="4" fontId="23" fillId="0" borderId="69" xfId="0" applyNumberFormat="1" applyFont="1" applyBorder="1" applyAlignment="1" applyProtection="1">
      <alignment vertical="center" wrapText="1"/>
    </xf>
    <xf numFmtId="3" fontId="23" fillId="0" borderId="52" xfId="44" applyNumberFormat="1" applyFont="1" applyBorder="1" applyAlignment="1" applyProtection="1">
      <alignment vertical="center"/>
    </xf>
    <xf numFmtId="0" fontId="22" fillId="0" borderId="0" xfId="0" applyFont="1" applyBorder="1" applyAlignment="1" applyProtection="1">
      <alignment horizontal="left" vertical="center" wrapText="1"/>
    </xf>
    <xf numFmtId="4" fontId="23" fillId="0" borderId="51" xfId="0" applyNumberFormat="1" applyFont="1" applyBorder="1" applyAlignment="1" applyProtection="1">
      <alignment vertical="center" wrapText="1"/>
    </xf>
    <xf numFmtId="4" fontId="23" fillId="0" borderId="67" xfId="0" applyNumberFormat="1" applyFont="1" applyBorder="1" applyAlignment="1" applyProtection="1">
      <alignment vertical="center" wrapText="1"/>
    </xf>
    <xf numFmtId="3" fontId="23" fillId="0" borderId="51" xfId="44" applyNumberFormat="1" applyFont="1" applyBorder="1" applyAlignment="1" applyProtection="1">
      <alignment vertical="center"/>
    </xf>
    <xf numFmtId="0" fontId="22" fillId="0" borderId="18" xfId="0" applyFont="1" applyBorder="1" applyAlignment="1" applyProtection="1">
      <alignment horizontal="left" vertical="center" wrapText="1"/>
    </xf>
    <xf numFmtId="0" fontId="22" fillId="0" borderId="24" xfId="0" applyFont="1" applyBorder="1" applyAlignment="1" applyProtection="1">
      <alignment horizontal="right" vertical="center" wrapText="1"/>
    </xf>
    <xf numFmtId="4" fontId="23" fillId="0" borderId="44" xfId="0" applyNumberFormat="1" applyFont="1" applyFill="1" applyBorder="1" applyAlignment="1" applyProtection="1">
      <alignment vertical="center" wrapText="1"/>
    </xf>
    <xf numFmtId="4" fontId="23" fillId="0" borderId="24" xfId="0" applyNumberFormat="1" applyFont="1" applyFill="1" applyBorder="1" applyAlignment="1" applyProtection="1">
      <alignment vertical="center" wrapText="1"/>
    </xf>
    <xf numFmtId="4" fontId="23" fillId="0" borderId="25" xfId="0" applyNumberFormat="1" applyFont="1" applyFill="1" applyBorder="1" applyAlignment="1" applyProtection="1">
      <alignment vertical="center" wrapText="1"/>
    </xf>
    <xf numFmtId="0" fontId="21" fillId="0" borderId="0" xfId="0" applyFont="1" applyFill="1" applyAlignment="1" applyProtection="1">
      <alignment horizontal="left" vertical="top"/>
    </xf>
    <xf numFmtId="0" fontId="23" fillId="20" borderId="0" xfId="0" applyFont="1" applyFill="1" applyBorder="1" applyAlignment="1" applyProtection="1">
      <alignment horizontal="center"/>
    </xf>
    <xf numFmtId="0" fontId="23" fillId="0" borderId="14" xfId="0" applyFont="1" applyBorder="1" applyProtection="1"/>
    <xf numFmtId="0" fontId="23" fillId="0" borderId="0" xfId="0" applyFont="1" applyBorder="1" applyAlignment="1" applyProtection="1">
      <alignment horizontal="right"/>
    </xf>
    <xf numFmtId="4" fontId="23" fillId="0" borderId="63" xfId="0" applyNumberFormat="1" applyFont="1" applyFill="1" applyBorder="1" applyProtection="1"/>
    <xf numFmtId="3" fontId="23" fillId="0" borderId="45" xfId="44" applyNumberFormat="1" applyFont="1" applyFill="1" applyBorder="1" applyProtection="1"/>
    <xf numFmtId="0" fontId="23" fillId="0" borderId="12" xfId="0" applyFont="1" applyBorder="1" applyProtection="1"/>
    <xf numFmtId="0" fontId="23" fillId="0" borderId="12" xfId="0" applyFont="1" applyBorder="1" applyAlignment="1" applyProtection="1">
      <alignment horizontal="right"/>
    </xf>
    <xf numFmtId="4" fontId="23" fillId="0" borderId="61" xfId="0" applyNumberFormat="1" applyFont="1" applyFill="1" applyBorder="1" applyProtection="1"/>
    <xf numFmtId="3" fontId="23" fillId="0" borderId="47" xfId="44" applyNumberFormat="1" applyFont="1" applyFill="1" applyBorder="1" applyProtection="1"/>
    <xf numFmtId="0" fontId="23" fillId="0" borderId="20" xfId="0" applyFont="1" applyBorder="1" applyProtection="1"/>
    <xf numFmtId="0" fontId="23" fillId="0" borderId="20" xfId="0" applyFont="1" applyBorder="1" applyAlignment="1" applyProtection="1">
      <alignment horizontal="right"/>
    </xf>
    <xf numFmtId="4" fontId="23" fillId="0" borderId="65" xfId="0" applyNumberFormat="1" applyFont="1" applyFill="1" applyBorder="1" applyProtection="1"/>
    <xf numFmtId="3" fontId="23" fillId="0" borderId="50" xfId="44" applyNumberFormat="1" applyFont="1" applyFill="1" applyBorder="1" applyProtection="1"/>
    <xf numFmtId="3" fontId="23" fillId="0" borderId="48" xfId="44" applyNumberFormat="1" applyFont="1" applyFill="1" applyBorder="1" applyProtection="1"/>
    <xf numFmtId="0" fontId="23" fillId="0" borderId="72" xfId="0" applyFont="1" applyBorder="1" applyProtection="1"/>
    <xf numFmtId="0" fontId="23" fillId="0" borderId="72" xfId="0" applyFont="1" applyBorder="1" applyAlignment="1" applyProtection="1">
      <alignment horizontal="right"/>
    </xf>
    <xf numFmtId="4" fontId="23" fillId="0" borderId="77" xfId="0" applyNumberFormat="1" applyFont="1" applyFill="1" applyBorder="1" applyProtection="1"/>
    <xf numFmtId="4" fontId="23" fillId="0" borderId="73" xfId="0" applyNumberFormat="1" applyFont="1" applyFill="1" applyBorder="1" applyProtection="1"/>
    <xf numFmtId="4" fontId="23" fillId="0" borderId="74" xfId="0" applyNumberFormat="1" applyFont="1" applyFill="1" applyBorder="1" applyProtection="1"/>
    <xf numFmtId="3" fontId="23" fillId="0" borderId="73" xfId="44" applyNumberFormat="1" applyFont="1" applyFill="1" applyBorder="1" applyProtection="1"/>
    <xf numFmtId="0" fontId="23" fillId="0" borderId="13" xfId="0" applyFont="1" applyBorder="1" applyProtection="1"/>
    <xf numFmtId="4" fontId="23" fillId="0" borderId="71" xfId="0" applyNumberFormat="1" applyFont="1" applyFill="1" applyBorder="1" applyProtection="1"/>
    <xf numFmtId="3" fontId="23" fillId="0" borderId="51" xfId="44" applyNumberFormat="1" applyFont="1" applyFill="1" applyBorder="1" applyProtection="1"/>
    <xf numFmtId="3" fontId="23" fillId="0" borderId="49" xfId="44" applyNumberFormat="1" applyFont="1" applyFill="1" applyBorder="1" applyProtection="1"/>
    <xf numFmtId="4" fontId="23" fillId="0" borderId="79" xfId="0" applyNumberFormat="1" applyFont="1" applyFill="1" applyBorder="1" applyProtection="1"/>
    <xf numFmtId="4" fontId="23" fillId="0" borderId="12" xfId="0" applyNumberFormat="1" applyFont="1" applyFill="1" applyBorder="1" applyProtection="1"/>
    <xf numFmtId="4" fontId="23" fillId="0" borderId="22" xfId="0" applyNumberFormat="1" applyFont="1" applyFill="1" applyBorder="1" applyProtection="1"/>
    <xf numFmtId="3" fontId="23" fillId="0" borderId="12" xfId="44" applyNumberFormat="1" applyFont="1" applyFill="1" applyBorder="1" applyProtection="1"/>
    <xf numFmtId="3" fontId="23" fillId="0" borderId="12" xfId="0" applyNumberFormat="1" applyFont="1" applyFill="1" applyBorder="1" applyProtection="1"/>
    <xf numFmtId="0" fontId="23" fillId="0" borderId="16" xfId="0" applyFont="1" applyBorder="1" applyProtection="1"/>
    <xf numFmtId="4" fontId="23" fillId="0" borderId="80" xfId="0" applyNumberFormat="1" applyFont="1" applyFill="1" applyBorder="1" applyProtection="1"/>
    <xf numFmtId="4" fontId="23" fillId="0" borderId="16" xfId="0" applyNumberFormat="1" applyFont="1" applyFill="1" applyBorder="1" applyProtection="1"/>
    <xf numFmtId="0" fontId="23" fillId="0" borderId="75" xfId="0" applyFont="1" applyBorder="1" applyProtection="1"/>
    <xf numFmtId="0" fontId="23" fillId="0" borderId="75" xfId="0" applyFont="1" applyBorder="1" applyAlignment="1" applyProtection="1">
      <alignment horizontal="right"/>
    </xf>
    <xf numFmtId="4" fontId="23" fillId="0" borderId="81" xfId="0" applyNumberFormat="1" applyFont="1" applyFill="1" applyBorder="1" applyProtection="1"/>
    <xf numFmtId="4" fontId="23" fillId="0" borderId="75" xfId="0" applyNumberFormat="1" applyFont="1" applyFill="1" applyBorder="1" applyProtection="1"/>
    <xf numFmtId="4" fontId="23" fillId="0" borderId="76" xfId="0" applyNumberFormat="1" applyFont="1" applyFill="1" applyBorder="1" applyProtection="1"/>
    <xf numFmtId="3" fontId="23" fillId="0" borderId="75" xfId="44" applyNumberFormat="1" applyFont="1" applyFill="1" applyBorder="1" applyProtection="1"/>
    <xf numFmtId="4" fontId="23" fillId="0" borderId="67" xfId="0" applyNumberFormat="1" applyFont="1" applyFill="1" applyBorder="1" applyProtection="1"/>
    <xf numFmtId="0" fontId="22" fillId="0" borderId="40" xfId="0" applyFont="1" applyBorder="1" applyProtection="1"/>
    <xf numFmtId="0" fontId="22" fillId="0" borderId="40" xfId="0" applyFont="1" applyBorder="1" applyAlignment="1" applyProtection="1">
      <alignment horizontal="right"/>
    </xf>
    <xf numFmtId="4" fontId="23" fillId="0" borderId="82" xfId="0" applyNumberFormat="1" applyFont="1" applyFill="1" applyBorder="1" applyProtection="1"/>
    <xf numFmtId="4" fontId="23" fillId="0" borderId="40" xfId="0" applyNumberFormat="1" applyFont="1" applyFill="1" applyBorder="1" applyProtection="1"/>
    <xf numFmtId="4" fontId="23" fillId="0" borderId="41" xfId="0" applyNumberFormat="1" applyFont="1" applyFill="1" applyBorder="1" applyProtection="1"/>
    <xf numFmtId="3" fontId="23" fillId="0" borderId="40" xfId="44" applyNumberFormat="1" applyFont="1" applyFill="1" applyBorder="1" applyProtection="1"/>
    <xf numFmtId="3" fontId="23" fillId="0" borderId="40" xfId="0" applyNumberFormat="1" applyFont="1" applyFill="1" applyBorder="1" applyProtection="1"/>
    <xf numFmtId="0" fontId="22" fillId="0" borderId="16" xfId="0" applyFont="1" applyBorder="1" applyProtection="1"/>
    <xf numFmtId="0" fontId="22" fillId="0" borderId="16" xfId="0" applyFont="1" applyBorder="1" applyAlignment="1" applyProtection="1">
      <alignment horizontal="right"/>
    </xf>
    <xf numFmtId="4" fontId="23" fillId="0" borderId="21" xfId="0" applyNumberFormat="1" applyFont="1" applyFill="1" applyBorder="1" applyProtection="1"/>
    <xf numFmtId="3" fontId="23" fillId="0" borderId="16" xfId="44" applyNumberFormat="1" applyFont="1" applyFill="1" applyBorder="1" applyProtection="1"/>
    <xf numFmtId="3" fontId="23" fillId="0" borderId="16" xfId="0" applyNumberFormat="1" applyFont="1" applyFill="1" applyBorder="1" applyProtection="1"/>
    <xf numFmtId="0" fontId="22" fillId="0" borderId="75" xfId="0" applyFont="1" applyBorder="1" applyProtection="1"/>
    <xf numFmtId="0" fontId="22" fillId="0" borderId="75" xfId="0" applyFont="1" applyBorder="1" applyAlignment="1" applyProtection="1">
      <alignment horizontal="right"/>
    </xf>
    <xf numFmtId="0" fontId="22" fillId="0" borderId="12" xfId="0" applyFont="1" applyBorder="1" applyProtection="1"/>
    <xf numFmtId="0" fontId="22" fillId="0" borderId="12" xfId="0" applyFont="1" applyBorder="1" applyAlignment="1" applyProtection="1">
      <alignment horizontal="right"/>
    </xf>
    <xf numFmtId="0" fontId="22" fillId="0" borderId="13" xfId="0" applyFont="1" applyBorder="1" applyProtection="1"/>
    <xf numFmtId="0" fontId="22" fillId="0" borderId="17" xfId="0" applyFont="1" applyBorder="1" applyProtection="1"/>
    <xf numFmtId="0" fontId="22" fillId="0" borderId="17" xfId="0" applyFont="1" applyBorder="1" applyAlignment="1" applyProtection="1">
      <alignment horizontal="right"/>
    </xf>
    <xf numFmtId="4" fontId="23" fillId="0" borderId="42" xfId="0" applyNumberFormat="1" applyFont="1" applyFill="1" applyBorder="1" applyProtection="1"/>
    <xf numFmtId="4" fontId="23" fillId="0" borderId="17" xfId="0" applyNumberFormat="1" applyFont="1" applyFill="1" applyBorder="1" applyProtection="1"/>
    <xf numFmtId="4" fontId="23" fillId="0" borderId="23" xfId="0" applyNumberFormat="1" applyFont="1" applyFill="1" applyBorder="1" applyProtection="1"/>
    <xf numFmtId="3" fontId="23" fillId="0" borderId="17" xfId="44" applyNumberFormat="1" applyFont="1" applyFill="1" applyBorder="1" applyProtection="1"/>
    <xf numFmtId="0" fontId="23" fillId="0" borderId="18" xfId="0" applyFont="1" applyBorder="1" applyProtection="1"/>
    <xf numFmtId="0" fontId="22" fillId="0" borderId="24" xfId="0" applyFont="1" applyBorder="1" applyAlignment="1" applyProtection="1">
      <alignment horizontal="left"/>
    </xf>
    <xf numFmtId="0" fontId="23" fillId="0" borderId="24" xfId="0" applyFont="1" applyBorder="1" applyAlignment="1" applyProtection="1">
      <alignment horizontal="right"/>
    </xf>
    <xf numFmtId="4" fontId="23" fillId="0" borderId="44" xfId="0" applyNumberFormat="1" applyFont="1" applyFill="1" applyBorder="1" applyAlignment="1" applyProtection="1">
      <alignment vertical="center"/>
    </xf>
    <xf numFmtId="4" fontId="23" fillId="0" borderId="25" xfId="0" applyNumberFormat="1" applyFont="1" applyFill="1" applyBorder="1" applyAlignment="1" applyProtection="1">
      <alignment vertical="center"/>
    </xf>
    <xf numFmtId="3" fontId="23" fillId="0" borderId="24" xfId="44" applyNumberFormat="1" applyFont="1" applyFill="1" applyBorder="1" applyAlignment="1" applyProtection="1">
      <alignment vertical="center"/>
    </xf>
    <xf numFmtId="3" fontId="23" fillId="0" borderId="0" xfId="44" applyNumberFormat="1" applyFont="1" applyBorder="1" applyAlignment="1" applyProtection="1">
      <alignment vertical="center"/>
    </xf>
    <xf numFmtId="0" fontId="23" fillId="19" borderId="0" xfId="0" applyFont="1" applyFill="1" applyBorder="1" applyAlignment="1" applyProtection="1">
      <alignment horizontal="right"/>
    </xf>
    <xf numFmtId="0" fontId="23" fillId="19" borderId="0" xfId="0" applyFont="1" applyFill="1" applyProtection="1"/>
    <xf numFmtId="0" fontId="27" fillId="0" borderId="0" xfId="0" applyFont="1" applyProtection="1"/>
    <xf numFmtId="0" fontId="23" fillId="0" borderId="0" xfId="0" applyFont="1" applyFill="1" applyAlignment="1" applyProtection="1">
      <alignment horizontal="right"/>
    </xf>
    <xf numFmtId="165" fontId="23" fillId="0" borderId="0" xfId="0" applyNumberFormat="1" applyFont="1" applyBorder="1" applyProtection="1"/>
    <xf numFmtId="166" fontId="22" fillId="0" borderId="11" xfId="0" applyNumberFormat="1" applyFont="1" applyBorder="1" applyAlignment="1" applyProtection="1">
      <alignment vertical="center"/>
    </xf>
    <xf numFmtId="165" fontId="22" fillId="0" borderId="11" xfId="0" applyNumberFormat="1" applyFont="1" applyBorder="1" applyAlignment="1" applyProtection="1">
      <alignment vertical="center"/>
    </xf>
    <xf numFmtId="173" fontId="23" fillId="0" borderId="0" xfId="0" applyNumberFormat="1" applyFont="1" applyFill="1" applyBorder="1" applyAlignment="1" applyProtection="1">
      <alignment horizontal="left" vertical="center"/>
    </xf>
    <xf numFmtId="173" fontId="23" fillId="0" borderId="0" xfId="0" applyNumberFormat="1" applyFont="1" applyFill="1" applyBorder="1" applyAlignment="1" applyProtection="1">
      <alignment horizontal="right" vertical="center"/>
    </xf>
    <xf numFmtId="173" fontId="23" fillId="0" borderId="20" xfId="0" applyNumberFormat="1" applyFont="1" applyFill="1" applyBorder="1" applyAlignment="1" applyProtection="1">
      <alignment horizontal="left" vertical="center"/>
    </xf>
    <xf numFmtId="173" fontId="23" fillId="0" borderId="20" xfId="0" applyNumberFormat="1" applyFont="1" applyFill="1" applyBorder="1" applyAlignment="1" applyProtection="1">
      <alignment horizontal="right" vertical="center"/>
    </xf>
    <xf numFmtId="173" fontId="23" fillId="0" borderId="17" xfId="0" applyNumberFormat="1" applyFont="1" applyFill="1" applyBorder="1" applyAlignment="1" applyProtection="1">
      <alignment horizontal="left" vertical="center"/>
    </xf>
    <xf numFmtId="173" fontId="23" fillId="0" borderId="17" xfId="0" applyNumberFormat="1" applyFont="1" applyFill="1" applyBorder="1" applyAlignment="1" applyProtection="1">
      <alignment horizontal="right" vertical="center"/>
    </xf>
    <xf numFmtId="167" fontId="23" fillId="0" borderId="24" xfId="0" applyNumberFormat="1" applyFont="1" applyFill="1" applyBorder="1" applyAlignment="1" applyProtection="1">
      <alignment horizontal="left" vertical="center"/>
    </xf>
    <xf numFmtId="166" fontId="23" fillId="0" borderId="0" xfId="0" applyNumberFormat="1" applyFont="1" applyFill="1" applyProtection="1"/>
    <xf numFmtId="165" fontId="23" fillId="0" borderId="0" xfId="0" applyNumberFormat="1" applyFont="1" applyFill="1" applyProtection="1"/>
    <xf numFmtId="165" fontId="22" fillId="0" borderId="11" xfId="0" applyNumberFormat="1" applyFont="1" applyBorder="1" applyAlignment="1" applyProtection="1">
      <alignment horizontal="right" vertical="center"/>
    </xf>
    <xf numFmtId="173" fontId="23" fillId="0" borderId="24" xfId="0" applyNumberFormat="1" applyFont="1" applyFill="1" applyBorder="1" applyAlignment="1" applyProtection="1">
      <alignment horizontal="right" vertical="center"/>
    </xf>
    <xf numFmtId="166" fontId="22" fillId="0" borderId="10" xfId="0" applyNumberFormat="1" applyFont="1" applyBorder="1" applyAlignment="1" applyProtection="1">
      <alignment vertical="center"/>
    </xf>
    <xf numFmtId="166" fontId="22" fillId="0" borderId="0" xfId="0" applyNumberFormat="1" applyFont="1" applyBorder="1" applyAlignment="1" applyProtection="1">
      <alignment horizontal="center" vertical="center"/>
    </xf>
    <xf numFmtId="166" fontId="22" fillId="0" borderId="0" xfId="0" applyNumberFormat="1" applyFont="1" applyFill="1" applyAlignment="1" applyProtection="1">
      <alignment horizontal="right"/>
    </xf>
    <xf numFmtId="2" fontId="23" fillId="0" borderId="19" xfId="0" quotePrefix="1" applyNumberFormat="1" applyFont="1" applyFill="1" applyBorder="1" applyAlignment="1" applyProtection="1">
      <alignment horizontal="left"/>
    </xf>
    <xf numFmtId="173" fontId="23" fillId="0" borderId="19" xfId="0" quotePrefix="1" applyNumberFormat="1" applyFont="1" applyFill="1" applyBorder="1" applyAlignment="1" applyProtection="1">
      <alignment horizontal="right"/>
    </xf>
    <xf numFmtId="173" fontId="23" fillId="0" borderId="0" xfId="0" quotePrefix="1" applyNumberFormat="1" applyFont="1" applyFill="1" applyBorder="1" applyAlignment="1" applyProtection="1">
      <alignment horizontal="right"/>
    </xf>
    <xf numFmtId="2" fontId="23" fillId="0" borderId="16" xfId="0" quotePrefix="1" applyNumberFormat="1" applyFont="1" applyFill="1" applyBorder="1" applyAlignment="1" applyProtection="1">
      <alignment horizontal="left"/>
    </xf>
    <xf numFmtId="173" fontId="23" fillId="0" borderId="16" xfId="0" quotePrefix="1" applyNumberFormat="1" applyFont="1" applyFill="1" applyBorder="1" applyAlignment="1" applyProtection="1">
      <alignment horizontal="right"/>
    </xf>
    <xf numFmtId="2" fontId="23" fillId="0" borderId="12" xfId="0" quotePrefix="1" applyNumberFormat="1" applyFont="1" applyFill="1" applyBorder="1" applyAlignment="1" applyProtection="1">
      <alignment horizontal="left"/>
    </xf>
    <xf numFmtId="173" fontId="23" fillId="0" borderId="12" xfId="0" quotePrefix="1" applyNumberFormat="1" applyFont="1" applyFill="1" applyBorder="1" applyAlignment="1" applyProtection="1">
      <alignment horizontal="right"/>
    </xf>
    <xf numFmtId="0" fontId="23" fillId="0" borderId="16" xfId="0" applyFont="1" applyFill="1" applyBorder="1" applyProtection="1"/>
    <xf numFmtId="2" fontId="23" fillId="0" borderId="29" xfId="0" quotePrefix="1" applyNumberFormat="1" applyFont="1" applyFill="1" applyBorder="1" applyAlignment="1" applyProtection="1">
      <alignment horizontal="left"/>
    </xf>
    <xf numFmtId="173" fontId="23" fillId="0" borderId="29" xfId="0" quotePrefix="1" applyNumberFormat="1" applyFont="1" applyFill="1" applyBorder="1" applyAlignment="1" applyProtection="1">
      <alignment horizontal="right"/>
    </xf>
    <xf numFmtId="2" fontId="23" fillId="0" borderId="10" xfId="0" quotePrefix="1" applyNumberFormat="1" applyFont="1" applyFill="1" applyBorder="1" applyAlignment="1" applyProtection="1">
      <alignment horizontal="left"/>
    </xf>
    <xf numFmtId="173" fontId="23" fillId="0" borderId="10" xfId="0" quotePrefix="1" applyNumberFormat="1" applyFont="1" applyFill="1" applyBorder="1" applyAlignment="1" applyProtection="1">
      <alignment horizontal="right"/>
    </xf>
    <xf numFmtId="173" fontId="23" fillId="0" borderId="10" xfId="0" applyNumberFormat="1" applyFont="1" applyBorder="1" applyProtection="1"/>
    <xf numFmtId="2" fontId="23" fillId="0" borderId="0" xfId="0" quotePrefix="1" applyNumberFormat="1" applyFont="1" applyFill="1" applyBorder="1" applyAlignment="1" applyProtection="1">
      <alignment horizontal="left"/>
    </xf>
    <xf numFmtId="173" fontId="23" fillId="0" borderId="0" xfId="0" applyNumberFormat="1" applyFont="1" applyBorder="1" applyProtection="1"/>
    <xf numFmtId="4" fontId="22" fillId="0" borderId="0" xfId="0" applyNumberFormat="1" applyFont="1" applyAlignment="1" applyProtection="1">
      <alignment horizontal="right"/>
    </xf>
    <xf numFmtId="4" fontId="22" fillId="0" borderId="0" xfId="0" applyNumberFormat="1" applyFont="1" applyFill="1" applyAlignment="1" applyProtection="1">
      <alignment horizontal="right"/>
    </xf>
    <xf numFmtId="0" fontId="23" fillId="0" borderId="29" xfId="0" applyFont="1" applyFill="1" applyBorder="1" applyAlignment="1" applyProtection="1">
      <alignment vertical="center"/>
    </xf>
    <xf numFmtId="4" fontId="23" fillId="0" borderId="29" xfId="0" applyNumberFormat="1" applyFont="1" applyBorder="1" applyAlignment="1" applyProtection="1">
      <alignment horizontal="left"/>
    </xf>
    <xf numFmtId="173" fontId="23" fillId="0" borderId="29" xfId="0" applyNumberFormat="1" applyFont="1" applyFill="1" applyBorder="1" applyAlignment="1" applyProtection="1">
      <alignment horizontal="right" vertical="center"/>
    </xf>
    <xf numFmtId="4" fontId="22" fillId="0" borderId="0" xfId="0" applyNumberFormat="1" applyFont="1" applyFill="1" applyAlignment="1" applyProtection="1">
      <alignment horizontal="left"/>
    </xf>
    <xf numFmtId="0" fontId="22" fillId="0" borderId="0" xfId="0" applyFont="1" applyFill="1" applyAlignment="1" applyProtection="1">
      <alignment horizontal="right"/>
    </xf>
    <xf numFmtId="4" fontId="23" fillId="0" borderId="0" xfId="0" applyNumberFormat="1" applyFont="1" applyFill="1" applyAlignment="1" applyProtection="1">
      <alignment horizontal="left"/>
    </xf>
    <xf numFmtId="2" fontId="23" fillId="0" borderId="0" xfId="0" applyNumberFormat="1" applyFont="1" applyFill="1" applyBorder="1" applyAlignment="1" applyProtection="1">
      <alignment horizontal="left"/>
    </xf>
    <xf numFmtId="169" fontId="23" fillId="0" borderId="0" xfId="0" applyNumberFormat="1" applyFont="1" applyFill="1" applyBorder="1" applyAlignment="1" applyProtection="1">
      <alignment horizontal="right"/>
    </xf>
    <xf numFmtId="2" fontId="23" fillId="0" borderId="29" xfId="0" applyNumberFormat="1" applyFont="1" applyFill="1" applyBorder="1" applyAlignment="1" applyProtection="1">
      <alignment horizontal="left"/>
    </xf>
    <xf numFmtId="169" fontId="23" fillId="0" borderId="29" xfId="0" applyNumberFormat="1" applyFont="1" applyFill="1" applyBorder="1" applyAlignment="1" applyProtection="1">
      <alignment horizontal="right"/>
    </xf>
    <xf numFmtId="2" fontId="23" fillId="0" borderId="19" xfId="0" applyNumberFormat="1" applyFont="1" applyFill="1" applyBorder="1" applyAlignment="1" applyProtection="1">
      <alignment horizontal="left"/>
    </xf>
    <xf numFmtId="169" fontId="23" fillId="0" borderId="19" xfId="0" applyNumberFormat="1" applyFont="1" applyFill="1" applyBorder="1" applyAlignment="1" applyProtection="1">
      <alignment horizontal="right"/>
    </xf>
    <xf numFmtId="2" fontId="23" fillId="0" borderId="16" xfId="0" applyNumberFormat="1" applyFont="1" applyFill="1" applyBorder="1" applyAlignment="1" applyProtection="1">
      <alignment horizontal="left"/>
    </xf>
    <xf numFmtId="169" fontId="23" fillId="0" borderId="16" xfId="0" applyNumberFormat="1" applyFont="1" applyFill="1" applyBorder="1" applyAlignment="1" applyProtection="1">
      <alignment horizontal="right"/>
    </xf>
    <xf numFmtId="4" fontId="23" fillId="0" borderId="0" xfId="0" applyNumberFormat="1" applyFont="1" applyFill="1" applyAlignment="1" applyProtection="1">
      <alignment horizontal="center"/>
    </xf>
    <xf numFmtId="0" fontId="23" fillId="0" borderId="0" xfId="37" applyFont="1" applyFill="1" applyBorder="1" applyAlignment="1" applyProtection="1">
      <alignment horizontal="left"/>
    </xf>
    <xf numFmtId="0" fontId="23" fillId="0" borderId="16" xfId="0" applyFont="1" applyFill="1" applyBorder="1" applyAlignment="1" applyProtection="1">
      <alignment horizontal="left"/>
    </xf>
    <xf numFmtId="0" fontId="23" fillId="0" borderId="29" xfId="0" applyFont="1" applyFill="1" applyBorder="1" applyAlignment="1" applyProtection="1">
      <alignment horizontal="left"/>
    </xf>
    <xf numFmtId="0" fontId="23" fillId="22" borderId="0" xfId="0" applyFont="1" applyFill="1" applyProtection="1"/>
    <xf numFmtId="166" fontId="22" fillId="0" borderId="13" xfId="0" applyNumberFormat="1" applyFont="1" applyFill="1" applyBorder="1" applyAlignment="1" applyProtection="1">
      <alignment horizontal="right"/>
    </xf>
    <xf numFmtId="49" fontId="23" fillId="0" borderId="0" xfId="0" applyNumberFormat="1" applyFont="1" applyProtection="1"/>
    <xf numFmtId="0" fontId="22" fillId="0" borderId="0" xfId="0" applyFont="1" applyBorder="1" applyAlignment="1" applyProtection="1">
      <alignment horizontal="right" vertical="center"/>
    </xf>
    <xf numFmtId="4" fontId="23" fillId="0" borderId="51" xfId="49" applyNumberFormat="1" applyFont="1" applyFill="1" applyBorder="1" applyAlignment="1" applyProtection="1">
      <alignment vertical="center"/>
    </xf>
    <xf numFmtId="4" fontId="23" fillId="0" borderId="51" xfId="0" applyNumberFormat="1" applyFont="1" applyFill="1" applyBorder="1" applyAlignment="1" applyProtection="1">
      <alignment vertical="center" wrapText="1"/>
    </xf>
    <xf numFmtId="0" fontId="23" fillId="0" borderId="11" xfId="0" applyFont="1" applyFill="1" applyBorder="1" applyAlignment="1" applyProtection="1">
      <alignment horizontal="right" wrapText="1"/>
    </xf>
    <xf numFmtId="171" fontId="23" fillId="0" borderId="11" xfId="45" applyFont="1" applyFill="1" applyBorder="1" applyAlignment="1" applyProtection="1">
      <alignment horizontal="right" wrapText="1"/>
    </xf>
    <xf numFmtId="0" fontId="23" fillId="0" borderId="11" xfId="0" applyFont="1" applyBorder="1" applyAlignment="1" applyProtection="1">
      <alignment wrapText="1"/>
    </xf>
    <xf numFmtId="0" fontId="23" fillId="0" borderId="84" xfId="0" applyFont="1" applyFill="1" applyBorder="1" applyAlignment="1" applyProtection="1">
      <alignment horizontal="right" wrapText="1"/>
    </xf>
    <xf numFmtId="171" fontId="23" fillId="0" borderId="84" xfId="45" applyFont="1" applyFill="1" applyBorder="1" applyAlignment="1" applyProtection="1">
      <alignment horizontal="right" wrapText="1"/>
    </xf>
    <xf numFmtId="0" fontId="23" fillId="0" borderId="85" xfId="0" applyFont="1" applyFill="1" applyBorder="1" applyAlignment="1" applyProtection="1">
      <alignment horizontal="right" wrapText="1"/>
    </xf>
    <xf numFmtId="0" fontId="27" fillId="0" borderId="0" xfId="0" applyFont="1" applyAlignment="1" applyProtection="1"/>
    <xf numFmtId="0" fontId="22" fillId="0" borderId="0" xfId="0" applyFont="1" applyBorder="1" applyAlignment="1" applyProtection="1">
      <alignment horizontal="right" wrapText="1"/>
    </xf>
    <xf numFmtId="0" fontId="22" fillId="0" borderId="18" xfId="0" applyFont="1" applyBorder="1" applyAlignment="1" applyProtection="1">
      <alignment horizontal="right" wrapText="1"/>
    </xf>
    <xf numFmtId="0" fontId="23" fillId="0" borderId="0" xfId="51" applyFont="1" applyFill="1" applyAlignment="1" applyProtection="1">
      <alignment horizontal="right"/>
    </xf>
    <xf numFmtId="3" fontId="21" fillId="0" borderId="0" xfId="0" applyNumberFormat="1" applyFont="1" applyFill="1" applyBorder="1" applyAlignment="1" applyProtection="1">
      <alignment horizontal="right" vertical="center"/>
    </xf>
    <xf numFmtId="0" fontId="22" fillId="0" borderId="24" xfId="0" applyFont="1" applyFill="1" applyBorder="1" applyAlignment="1" applyProtection="1">
      <alignment horizontal="right"/>
    </xf>
    <xf numFmtId="0" fontId="21" fillId="0" borderId="18" xfId="0" applyFont="1" applyFill="1" applyBorder="1" applyAlignment="1" applyProtection="1">
      <alignment horizontal="left" vertical="top"/>
    </xf>
    <xf numFmtId="0" fontId="21" fillId="0" borderId="18" xfId="0" applyFont="1" applyFill="1" applyBorder="1" applyAlignment="1" applyProtection="1">
      <alignment horizontal="left" vertical="center"/>
    </xf>
    <xf numFmtId="0" fontId="23" fillId="0" borderId="18" xfId="0" applyFont="1" applyFill="1" applyBorder="1" applyAlignment="1" applyProtection="1">
      <alignment horizontal="right"/>
    </xf>
    <xf numFmtId="174" fontId="23" fillId="0" borderId="24" xfId="0" applyNumberFormat="1" applyFont="1" applyFill="1" applyBorder="1" applyAlignment="1" applyProtection="1">
      <alignment horizontal="right" vertical="center"/>
    </xf>
    <xf numFmtId="0" fontId="23" fillId="0" borderId="0" xfId="38" applyFont="1" applyAlignment="1" applyProtection="1">
      <alignment horizontal="right" wrapText="1"/>
    </xf>
    <xf numFmtId="3" fontId="23" fillId="0" borderId="0" xfId="38" applyNumberFormat="1" applyFont="1" applyFill="1" applyBorder="1" applyAlignment="1" applyProtection="1">
      <alignment horizontal="right"/>
    </xf>
    <xf numFmtId="0" fontId="23" fillId="0" borderId="0" xfId="0" applyFont="1" applyFill="1" applyAlignment="1" applyProtection="1">
      <alignment wrapText="1"/>
    </xf>
    <xf numFmtId="0" fontId="23" fillId="0" borderId="0" xfId="0" applyFont="1" applyFill="1" applyAlignment="1" applyProtection="1"/>
    <xf numFmtId="3" fontId="22" fillId="0" borderId="0" xfId="0" applyNumberFormat="1" applyFont="1" applyFill="1" applyBorder="1" applyAlignment="1" applyProtection="1">
      <alignment horizontal="right" vertical="center"/>
    </xf>
    <xf numFmtId="4" fontId="23" fillId="0" borderId="89" xfId="0" applyNumberFormat="1" applyFont="1" applyFill="1" applyBorder="1" applyProtection="1"/>
    <xf numFmtId="4" fontId="37" fillId="23" borderId="45" xfId="0" applyNumberFormat="1" applyFont="1" applyFill="1" applyBorder="1" applyProtection="1"/>
    <xf numFmtId="4" fontId="37" fillId="23" borderId="46" xfId="0" applyNumberFormat="1" applyFont="1" applyFill="1" applyBorder="1" applyProtection="1"/>
    <xf numFmtId="4" fontId="37" fillId="23" borderId="47" xfId="0" applyNumberFormat="1" applyFont="1" applyFill="1" applyBorder="1" applyProtection="1"/>
    <xf numFmtId="4" fontId="37" fillId="23" borderId="48" xfId="0" applyNumberFormat="1" applyFont="1" applyFill="1" applyBorder="1" applyProtection="1"/>
    <xf numFmtId="4" fontId="37" fillId="23" borderId="49" xfId="0" applyNumberFormat="1" applyFont="1" applyFill="1" applyBorder="1" applyProtection="1"/>
    <xf numFmtId="170" fontId="37" fillId="23" borderId="47" xfId="0" applyNumberFormat="1" applyFont="1" applyFill="1" applyBorder="1" applyProtection="1"/>
    <xf numFmtId="170" fontId="37" fillId="23" borderId="48" xfId="0" applyNumberFormat="1" applyFont="1" applyFill="1" applyBorder="1" applyProtection="1"/>
    <xf numFmtId="170" fontId="37" fillId="23" borderId="46" xfId="0" applyNumberFormat="1" applyFont="1" applyFill="1" applyBorder="1" applyProtection="1"/>
    <xf numFmtId="170" fontId="37" fillId="23" borderId="49" xfId="0" applyNumberFormat="1" applyFont="1" applyFill="1" applyBorder="1" applyProtection="1"/>
    <xf numFmtId="4" fontId="37" fillId="23" borderId="50" xfId="0" applyNumberFormat="1" applyFont="1" applyFill="1" applyBorder="1" applyProtection="1"/>
    <xf numFmtId="4" fontId="37" fillId="23" borderId="51" xfId="0" applyNumberFormat="1" applyFont="1" applyFill="1" applyBorder="1" applyProtection="1"/>
    <xf numFmtId="4" fontId="37" fillId="23" borderId="52" xfId="0" applyNumberFormat="1" applyFont="1" applyFill="1" applyBorder="1" applyProtection="1"/>
    <xf numFmtId="170" fontId="37" fillId="23" borderId="50" xfId="0" applyNumberFormat="1" applyFont="1" applyFill="1" applyBorder="1" applyProtection="1"/>
    <xf numFmtId="170" fontId="37" fillId="23" borderId="51" xfId="0" applyNumberFormat="1" applyFont="1" applyFill="1" applyBorder="1" applyProtection="1"/>
    <xf numFmtId="3" fontId="37" fillId="23" borderId="46" xfId="0" applyNumberFormat="1" applyFont="1" applyFill="1" applyBorder="1" applyProtection="1"/>
    <xf numFmtId="3" fontId="37" fillId="23" borderId="47" xfId="0" applyNumberFormat="1" applyFont="1" applyFill="1" applyBorder="1" applyProtection="1"/>
    <xf numFmtId="3" fontId="37" fillId="23" borderId="49" xfId="0" applyNumberFormat="1" applyFont="1" applyFill="1" applyBorder="1" applyProtection="1"/>
    <xf numFmtId="3" fontId="37" fillId="23" borderId="48" xfId="0" applyNumberFormat="1" applyFont="1" applyFill="1" applyBorder="1" applyProtection="1"/>
    <xf numFmtId="3" fontId="37" fillId="23" borderId="51" xfId="0" applyNumberFormat="1" applyFont="1" applyFill="1" applyBorder="1" applyProtection="1"/>
    <xf numFmtId="3" fontId="37" fillId="23" borderId="58" xfId="0" applyNumberFormat="1" applyFont="1" applyFill="1" applyBorder="1" applyAlignment="1" applyProtection="1">
      <alignment vertical="center"/>
    </xf>
    <xf numFmtId="3" fontId="37" fillId="23" borderId="59" xfId="0" applyNumberFormat="1" applyFont="1" applyFill="1" applyBorder="1" applyAlignment="1" applyProtection="1">
      <alignment vertical="center"/>
    </xf>
    <xf numFmtId="4" fontId="37" fillId="23" borderId="64" xfId="49" applyNumberFormat="1" applyFont="1" applyFill="1" applyBorder="1" applyAlignment="1" applyProtection="1">
      <alignment vertical="center"/>
    </xf>
    <xf numFmtId="4" fontId="37" fillId="23" borderId="62" xfId="49" applyNumberFormat="1" applyFont="1" applyFill="1" applyBorder="1" applyAlignment="1" applyProtection="1">
      <alignment vertical="center"/>
    </xf>
    <xf numFmtId="4" fontId="37" fillId="23" borderId="47" xfId="49" applyNumberFormat="1" applyFont="1" applyFill="1" applyBorder="1" applyAlignment="1" applyProtection="1">
      <alignment vertical="center"/>
    </xf>
    <xf numFmtId="4" fontId="37" fillId="23" borderId="61" xfId="49" applyNumberFormat="1" applyFont="1" applyFill="1" applyBorder="1" applyAlignment="1" applyProtection="1">
      <alignment vertical="center"/>
    </xf>
    <xf numFmtId="4" fontId="37" fillId="23" borderId="68" xfId="49" applyNumberFormat="1" applyFont="1" applyFill="1" applyBorder="1" applyAlignment="1" applyProtection="1">
      <alignment vertical="center"/>
    </xf>
    <xf numFmtId="4" fontId="37" fillId="23" borderId="68" xfId="0" applyNumberFormat="1" applyFont="1" applyFill="1" applyBorder="1" applyAlignment="1" applyProtection="1">
      <alignment vertical="center" wrapText="1"/>
    </xf>
    <xf numFmtId="4" fontId="37" fillId="23" borderId="50" xfId="49" applyNumberFormat="1" applyFont="1" applyFill="1" applyBorder="1" applyAlignment="1" applyProtection="1">
      <alignment vertical="center"/>
    </xf>
    <xf numFmtId="4" fontId="37" fillId="23" borderId="48" xfId="49" applyNumberFormat="1" applyFont="1" applyFill="1" applyBorder="1" applyAlignment="1" applyProtection="1">
      <alignment vertical="center"/>
    </xf>
    <xf numFmtId="4" fontId="37" fillId="23" borderId="51" xfId="49" applyNumberFormat="1" applyFont="1" applyFill="1" applyBorder="1" applyAlignment="1" applyProtection="1">
      <alignment vertical="center"/>
    </xf>
    <xf numFmtId="4" fontId="37" fillId="23" borderId="51" xfId="0" applyNumberFormat="1" applyFont="1" applyFill="1" applyBorder="1" applyAlignment="1" applyProtection="1">
      <alignment vertical="center" wrapText="1"/>
    </xf>
    <xf numFmtId="3" fontId="37" fillId="23" borderId="47" xfId="49" applyNumberFormat="1" applyFont="1" applyFill="1" applyBorder="1" applyAlignment="1" applyProtection="1">
      <alignment vertical="center"/>
    </xf>
    <xf numFmtId="3" fontId="37" fillId="23" borderId="50" xfId="49" applyNumberFormat="1" applyFont="1" applyFill="1" applyBorder="1" applyAlignment="1" applyProtection="1">
      <alignment vertical="center"/>
    </xf>
    <xf numFmtId="4" fontId="37" fillId="23" borderId="66" xfId="49" applyNumberFormat="1" applyFont="1" applyFill="1" applyBorder="1" applyAlignment="1" applyProtection="1">
      <alignment vertical="center"/>
    </xf>
    <xf numFmtId="3" fontId="37" fillId="23" borderId="48" xfId="49" applyNumberFormat="1" applyFont="1" applyFill="1" applyBorder="1" applyAlignment="1" applyProtection="1">
      <alignment vertical="center"/>
    </xf>
    <xf numFmtId="4" fontId="37" fillId="23" borderId="12" xfId="0" applyNumberFormat="1" applyFont="1" applyFill="1" applyBorder="1" applyProtection="1"/>
    <xf numFmtId="4" fontId="37" fillId="23" borderId="73" xfId="0" applyNumberFormat="1" applyFont="1" applyFill="1" applyBorder="1" applyProtection="1"/>
    <xf numFmtId="4" fontId="37" fillId="23" borderId="16" xfId="0" applyNumberFormat="1" applyFont="1" applyFill="1" applyBorder="1" applyProtection="1"/>
    <xf numFmtId="4" fontId="37" fillId="23" borderId="75" xfId="0" applyNumberFormat="1" applyFont="1" applyFill="1" applyBorder="1" applyProtection="1"/>
    <xf numFmtId="4" fontId="37" fillId="23" borderId="17" xfId="0" applyNumberFormat="1" applyFont="1" applyFill="1" applyBorder="1" applyProtection="1"/>
    <xf numFmtId="4" fontId="37" fillId="23" borderId="40" xfId="0" applyNumberFormat="1" applyFont="1" applyFill="1" applyBorder="1" applyProtection="1"/>
    <xf numFmtId="3" fontId="37" fillId="23" borderId="50" xfId="44" applyNumberFormat="1" applyFont="1" applyFill="1" applyBorder="1" applyProtection="1"/>
    <xf numFmtId="4" fontId="37" fillId="23" borderId="48" xfId="44" applyNumberFormat="1" applyFont="1" applyFill="1" applyBorder="1" applyProtection="1"/>
    <xf numFmtId="3" fontId="37" fillId="23" borderId="47" xfId="44" applyNumberFormat="1" applyFont="1" applyFill="1" applyBorder="1" applyProtection="1"/>
    <xf numFmtId="4" fontId="37" fillId="23" borderId="47" xfId="44" applyNumberFormat="1" applyFont="1" applyFill="1" applyBorder="1" applyProtection="1"/>
    <xf numFmtId="4" fontId="37" fillId="23" borderId="73" xfId="44" applyNumberFormat="1" applyFont="1" applyFill="1" applyBorder="1" applyProtection="1"/>
    <xf numFmtId="4" fontId="37" fillId="23" borderId="50" xfId="44" applyNumberFormat="1" applyFont="1" applyFill="1" applyBorder="1" applyProtection="1"/>
    <xf numFmtId="4" fontId="37" fillId="23" borderId="51" xfId="44" applyNumberFormat="1" applyFont="1" applyFill="1" applyBorder="1" applyProtection="1"/>
    <xf numFmtId="3" fontId="37" fillId="23" borderId="45" xfId="44" applyNumberFormat="1" applyFont="1" applyFill="1" applyBorder="1" applyProtection="1"/>
    <xf numFmtId="4" fontId="37" fillId="23" borderId="45" xfId="44" applyNumberFormat="1" applyFont="1" applyFill="1" applyBorder="1" applyProtection="1"/>
    <xf numFmtId="3" fontId="37" fillId="23" borderId="48" xfId="44" applyNumberFormat="1" applyFont="1" applyFill="1" applyBorder="1" applyProtection="1"/>
    <xf numFmtId="4" fontId="37" fillId="23" borderId="49" xfId="44" applyNumberFormat="1" applyFont="1" applyFill="1" applyBorder="1" applyProtection="1"/>
    <xf numFmtId="3" fontId="37" fillId="23" borderId="51" xfId="44" applyNumberFormat="1" applyFont="1" applyFill="1" applyBorder="1" applyProtection="1"/>
    <xf numFmtId="3" fontId="37" fillId="23" borderId="12" xfId="44" applyNumberFormat="1" applyFont="1" applyFill="1" applyBorder="1" applyProtection="1"/>
    <xf numFmtId="4" fontId="37" fillId="23" borderId="12" xfId="44" applyNumberFormat="1" applyFont="1" applyFill="1" applyBorder="1" applyProtection="1"/>
    <xf numFmtId="4" fontId="37" fillId="23" borderId="16" xfId="44" applyNumberFormat="1" applyFont="1" applyFill="1" applyBorder="1" applyProtection="1"/>
    <xf numFmtId="4" fontId="37" fillId="23" borderId="75" xfId="44" applyNumberFormat="1" applyFont="1" applyFill="1" applyBorder="1" applyProtection="1"/>
    <xf numFmtId="3" fontId="37" fillId="23" borderId="73" xfId="44" applyNumberFormat="1" applyFont="1" applyFill="1" applyBorder="1" applyProtection="1"/>
    <xf numFmtId="3" fontId="37" fillId="23" borderId="40" xfId="44" applyNumberFormat="1" applyFont="1" applyFill="1" applyBorder="1" applyProtection="1"/>
    <xf numFmtId="3" fontId="37" fillId="23" borderId="16" xfId="44" applyNumberFormat="1" applyFont="1" applyFill="1" applyBorder="1" applyProtection="1"/>
    <xf numFmtId="3" fontId="37" fillId="23" borderId="75" xfId="44" applyNumberFormat="1" applyFont="1" applyFill="1" applyBorder="1" applyProtection="1"/>
    <xf numFmtId="3" fontId="37" fillId="23" borderId="17" xfId="44" applyNumberFormat="1" applyFont="1" applyFill="1" applyBorder="1" applyProtection="1"/>
    <xf numFmtId="3" fontId="37" fillId="23" borderId="16" xfId="0" applyNumberFormat="1" applyFont="1" applyFill="1" applyBorder="1" applyProtection="1"/>
    <xf numFmtId="3" fontId="37" fillId="23" borderId="17" xfId="0" applyNumberFormat="1" applyFont="1" applyFill="1" applyBorder="1" applyProtection="1"/>
    <xf numFmtId="3" fontId="37" fillId="23" borderId="75" xfId="0" applyNumberFormat="1" applyFont="1" applyFill="1" applyBorder="1" applyProtection="1"/>
    <xf numFmtId="3" fontId="37" fillId="23" borderId="50" xfId="0" applyNumberFormat="1" applyFont="1" applyFill="1" applyBorder="1" applyProtection="1"/>
    <xf numFmtId="3" fontId="37" fillId="23" borderId="73" xfId="0" applyNumberFormat="1" applyFont="1" applyFill="1" applyBorder="1" applyProtection="1"/>
    <xf numFmtId="4" fontId="23" fillId="0" borderId="0" xfId="0" applyNumberFormat="1" applyFont="1" applyFill="1" applyAlignment="1" applyProtection="1">
      <alignment horizontal="right"/>
    </xf>
    <xf numFmtId="3" fontId="23" fillId="0" borderId="0" xfId="38" applyNumberFormat="1" applyFont="1" applyAlignment="1" applyProtection="1">
      <alignment horizontal="left" wrapText="1"/>
    </xf>
    <xf numFmtId="3" fontId="23" fillId="0" borderId="0" xfId="38" applyNumberFormat="1" applyFont="1" applyFill="1" applyAlignment="1" applyProtection="1">
      <alignment horizontal="left" wrapText="1"/>
    </xf>
    <xf numFmtId="3" fontId="37" fillId="23" borderId="0" xfId="0" applyNumberFormat="1" applyFont="1" applyFill="1" applyAlignment="1" applyProtection="1">
      <alignment vertical="center"/>
    </xf>
    <xf numFmtId="0" fontId="32" fillId="0" borderId="0" xfId="51" applyFont="1" applyAlignment="1" applyProtection="1"/>
    <xf numFmtId="0" fontId="3" fillId="0" borderId="0" xfId="0" applyFont="1" applyProtection="1"/>
    <xf numFmtId="0" fontId="23" fillId="0" borderId="14" xfId="38" applyFont="1" applyBorder="1" applyAlignment="1" applyProtection="1">
      <alignment horizontal="right" vertical="center"/>
    </xf>
    <xf numFmtId="0" fontId="23" fillId="0" borderId="0" xfId="38" applyFont="1" applyBorder="1" applyAlignment="1" applyProtection="1">
      <alignment horizontal="right" vertical="center"/>
    </xf>
    <xf numFmtId="0" fontId="23" fillId="0" borderId="12" xfId="38" applyFont="1" applyBorder="1" applyAlignment="1" applyProtection="1">
      <alignment horizontal="right" vertical="center"/>
    </xf>
    <xf numFmtId="0" fontId="23" fillId="0" borderId="13" xfId="38" applyFont="1" applyBorder="1" applyAlignment="1" applyProtection="1">
      <alignment horizontal="right" vertical="center"/>
    </xf>
    <xf numFmtId="3" fontId="22" fillId="0" borderId="19" xfId="38" applyNumberFormat="1" applyFont="1" applyBorder="1" applyAlignment="1" applyProtection="1">
      <alignment horizontal="right" vertical="center"/>
    </xf>
    <xf numFmtId="3" fontId="23" fillId="0" borderId="0" xfId="38" applyNumberFormat="1" applyFont="1" applyBorder="1" applyAlignment="1" applyProtection="1">
      <alignment horizontal="right" vertical="center"/>
    </xf>
    <xf numFmtId="3" fontId="23" fillId="0" borderId="13" xfId="38" applyNumberFormat="1" applyFont="1" applyBorder="1" applyAlignment="1" applyProtection="1">
      <alignment horizontal="right" vertical="center"/>
    </xf>
    <xf numFmtId="3" fontId="23" fillId="0" borderId="0" xfId="38" applyNumberFormat="1" applyFont="1" applyFill="1" applyBorder="1" applyAlignment="1" applyProtection="1">
      <alignment horizontal="center" vertical="center"/>
    </xf>
    <xf numFmtId="4" fontId="23" fillId="0" borderId="0" xfId="0" applyNumberFormat="1" applyFont="1" applyFill="1" applyAlignment="1" applyProtection="1">
      <alignment horizontal="right" vertical="center"/>
    </xf>
    <xf numFmtId="0" fontId="3" fillId="0" borderId="0" xfId="0" applyFont="1" applyBorder="1" applyProtection="1"/>
    <xf numFmtId="0" fontId="3" fillId="0" borderId="0" xfId="0" applyFont="1" applyFill="1" applyBorder="1" applyProtection="1"/>
    <xf numFmtId="3" fontId="22" fillId="0" borderId="12" xfId="0" applyNumberFormat="1" applyFont="1" applyFill="1" applyBorder="1" applyAlignment="1" applyProtection="1">
      <alignment horizontal="right" vertical="center"/>
    </xf>
    <xf numFmtId="3" fontId="22" fillId="0" borderId="24" xfId="0" applyNumberFormat="1" applyFont="1" applyFill="1" applyBorder="1" applyAlignment="1" applyProtection="1">
      <alignment horizontal="right" vertical="center"/>
    </xf>
    <xf numFmtId="3" fontId="23" fillId="0" borderId="24" xfId="0" applyNumberFormat="1" applyFont="1" applyFill="1" applyBorder="1" applyAlignment="1" applyProtection="1">
      <alignment vertical="center" wrapText="1"/>
    </xf>
    <xf numFmtId="164" fontId="23" fillId="0" borderId="0" xfId="38" applyNumberFormat="1" applyFont="1" applyFill="1" applyBorder="1" applyAlignment="1" applyProtection="1">
      <alignment horizontal="right" vertical="center"/>
    </xf>
    <xf numFmtId="164" fontId="23" fillId="0" borderId="0" xfId="38" applyNumberFormat="1" applyFont="1" applyBorder="1" applyAlignment="1" applyProtection="1">
      <alignment horizontal="right" vertical="center"/>
    </xf>
    <xf numFmtId="0" fontId="23" fillId="0" borderId="0" xfId="0" applyFont="1" applyBorder="1" applyAlignment="1" applyProtection="1">
      <alignment horizontal="right" wrapText="1"/>
    </xf>
    <xf numFmtId="0" fontId="23" fillId="0" borderId="13" xfId="0" applyFont="1" applyBorder="1" applyAlignment="1" applyProtection="1">
      <alignment horizontal="right" wrapText="1"/>
    </xf>
    <xf numFmtId="0" fontId="23" fillId="0" borderId="31" xfId="0" applyFont="1" applyBorder="1" applyAlignment="1" applyProtection="1">
      <alignment horizontal="right" wrapText="1"/>
    </xf>
    <xf numFmtId="0" fontId="27" fillId="0" borderId="0" xfId="0" applyFont="1" applyAlignment="1" applyProtection="1">
      <alignment horizontal="left"/>
    </xf>
    <xf numFmtId="0" fontId="22" fillId="0" borderId="19" xfId="51" applyFont="1" applyBorder="1" applyAlignment="1" applyProtection="1">
      <alignment horizontal="left" vertical="center"/>
    </xf>
    <xf numFmtId="0" fontId="3" fillId="21" borderId="0" xfId="0" applyFont="1" applyFill="1" applyProtection="1"/>
    <xf numFmtId="0" fontId="33" fillId="21" borderId="0" xfId="0" applyFont="1" applyFill="1" applyAlignment="1" applyProtection="1">
      <alignment horizontal="right"/>
    </xf>
    <xf numFmtId="0" fontId="23" fillId="24" borderId="0" xfId="0" applyFont="1" applyFill="1" applyProtection="1"/>
    <xf numFmtId="3" fontId="25" fillId="24" borderId="0" xfId="0" applyNumberFormat="1" applyFont="1" applyFill="1" applyProtection="1"/>
    <xf numFmtId="169" fontId="23" fillId="0" borderId="0" xfId="0" applyNumberFormat="1" applyFont="1" applyFill="1" applyAlignment="1" applyProtection="1">
      <alignment horizontal="center" vertical="center"/>
    </xf>
    <xf numFmtId="0" fontId="32" fillId="0" borderId="0" xfId="51" applyFont="1" applyAlignment="1" applyProtection="1">
      <alignment horizontal="left" vertical="top"/>
    </xf>
    <xf numFmtId="0" fontId="36" fillId="0" borderId="0" xfId="0" applyFont="1" applyAlignment="1" applyProtection="1">
      <alignment horizontal="center" vertical="center"/>
    </xf>
    <xf numFmtId="0" fontId="31" fillId="0" borderId="0" xfId="0" applyFont="1" applyProtection="1"/>
    <xf numFmtId="0" fontId="3" fillId="0" borderId="0" xfId="0" applyFont="1" applyAlignment="1" applyProtection="1">
      <alignment horizontal="center"/>
    </xf>
    <xf numFmtId="0" fontId="30" fillId="0" borderId="0" xfId="0" applyFont="1" applyAlignment="1" applyProtection="1">
      <alignment horizontal="center"/>
    </xf>
    <xf numFmtId="0" fontId="38" fillId="0" borderId="0" xfId="0" applyFont="1" applyAlignment="1" applyProtection="1">
      <alignment horizontal="center" vertical="center"/>
    </xf>
    <xf numFmtId="0" fontId="23" fillId="0" borderId="20" xfId="0" applyFont="1" applyFill="1" applyBorder="1" applyAlignment="1" applyProtection="1">
      <alignment horizontal="left" wrapText="1"/>
    </xf>
    <xf numFmtId="0" fontId="23" fillId="0" borderId="0" xfId="0" applyFont="1" applyFill="1" applyBorder="1" applyAlignment="1" applyProtection="1">
      <alignment horizontal="left" wrapText="1"/>
    </xf>
    <xf numFmtId="0" fontId="27" fillId="0" borderId="0" xfId="0" applyFont="1" applyAlignment="1" applyProtection="1">
      <alignment horizontal="left"/>
    </xf>
    <xf numFmtId="0" fontId="21" fillId="0" borderId="18" xfId="0" applyFont="1" applyFill="1" applyBorder="1" applyAlignment="1" applyProtection="1">
      <alignment horizontal="center" vertical="top"/>
    </xf>
    <xf numFmtId="0" fontId="23" fillId="0" borderId="14" xfId="38" applyFont="1" applyBorder="1" applyAlignment="1" applyProtection="1">
      <alignment horizontal="right" vertical="center"/>
    </xf>
    <xf numFmtId="0" fontId="23" fillId="0" borderId="0" xfId="38" applyFont="1" applyBorder="1" applyAlignment="1" applyProtection="1">
      <alignment horizontal="right" vertical="center"/>
    </xf>
    <xf numFmtId="0" fontId="23" fillId="0" borderId="0" xfId="38" applyFont="1" applyFill="1" applyBorder="1" applyAlignment="1" applyProtection="1">
      <alignment horizontal="right" vertical="center"/>
    </xf>
    <xf numFmtId="0" fontId="22" fillId="0" borderId="18" xfId="38" applyFont="1" applyBorder="1" applyAlignment="1" applyProtection="1">
      <alignment horizontal="left"/>
    </xf>
    <xf numFmtId="0" fontId="23" fillId="0" borderId="14" xfId="38" applyFont="1" applyFill="1" applyBorder="1" applyAlignment="1" applyProtection="1">
      <alignment horizontal="right" vertical="center"/>
    </xf>
    <xf numFmtId="0" fontId="23" fillId="0" borderId="12" xfId="38" applyFont="1" applyBorder="1" applyAlignment="1" applyProtection="1">
      <alignment horizontal="right" vertical="center"/>
    </xf>
    <xf numFmtId="0" fontId="23" fillId="0" borderId="20" xfId="38" applyFont="1" applyFill="1" applyBorder="1" applyAlignment="1" applyProtection="1">
      <alignment horizontal="right" vertical="center"/>
    </xf>
    <xf numFmtId="0" fontId="22" fillId="0" borderId="29" xfId="38" applyFont="1" applyBorder="1" applyAlignment="1" applyProtection="1">
      <alignment horizontal="right" vertical="center"/>
    </xf>
    <xf numFmtId="167" fontId="23" fillId="0" borderId="12" xfId="38" applyNumberFormat="1" applyFont="1" applyBorder="1" applyAlignment="1" applyProtection="1">
      <alignment horizontal="right" vertical="center"/>
    </xf>
    <xf numFmtId="0" fontId="23" fillId="0" borderId="12" xfId="38" applyFont="1" applyFill="1" applyBorder="1" applyAlignment="1" applyProtection="1">
      <alignment horizontal="right" vertical="center"/>
    </xf>
    <xf numFmtId="0" fontId="23" fillId="0" borderId="13" xfId="38" applyFont="1" applyBorder="1" applyAlignment="1" applyProtection="1">
      <alignment horizontal="right" vertical="center"/>
    </xf>
    <xf numFmtId="3" fontId="22" fillId="0" borderId="19" xfId="38" applyNumberFormat="1" applyFont="1" applyBorder="1" applyAlignment="1" applyProtection="1">
      <alignment horizontal="right" vertical="center"/>
    </xf>
    <xf numFmtId="0" fontId="22" fillId="0" borderId="19" xfId="38" applyFont="1" applyBorder="1" applyAlignment="1" applyProtection="1">
      <alignment horizontal="right" vertical="center"/>
    </xf>
    <xf numFmtId="0" fontId="23" fillId="0" borderId="14" xfId="38" applyFont="1" applyFill="1" applyBorder="1" applyAlignment="1" applyProtection="1">
      <alignment horizontal="right"/>
    </xf>
    <xf numFmtId="0" fontId="23" fillId="0" borderId="0" xfId="38" applyFont="1" applyFill="1" applyBorder="1" applyAlignment="1" applyProtection="1">
      <alignment horizontal="right" vertical="center" wrapText="1"/>
    </xf>
    <xf numFmtId="0" fontId="23" fillId="0" borderId="13" xfId="38" applyFont="1" applyFill="1" applyBorder="1" applyAlignment="1" applyProtection="1">
      <alignment horizontal="right" vertical="center" wrapText="1"/>
    </xf>
    <xf numFmtId="0" fontId="27" fillId="0" borderId="0" xfId="38" applyFont="1" applyAlignment="1" applyProtection="1">
      <alignment horizontal="left"/>
    </xf>
    <xf numFmtId="3" fontId="23" fillId="0" borderId="0" xfId="38" applyNumberFormat="1" applyFont="1" applyFill="1" applyBorder="1" applyAlignment="1" applyProtection="1">
      <alignment horizontal="right" vertical="center"/>
    </xf>
    <xf numFmtId="3" fontId="23" fillId="0" borderId="0" xfId="38" applyNumberFormat="1" applyFont="1" applyBorder="1" applyAlignment="1" applyProtection="1">
      <alignment horizontal="right" vertical="center"/>
    </xf>
    <xf numFmtId="3" fontId="23" fillId="0" borderId="13" xfId="38" applyNumberFormat="1" applyFont="1" applyBorder="1" applyAlignment="1" applyProtection="1">
      <alignment horizontal="right" vertical="center"/>
    </xf>
    <xf numFmtId="0" fontId="22" fillId="0" borderId="18" xfId="38" applyFont="1" applyBorder="1" applyAlignment="1" applyProtection="1">
      <alignment horizontal="left" vertical="center"/>
    </xf>
    <xf numFmtId="0" fontId="23" fillId="0" borderId="13" xfId="38" applyFont="1" applyFill="1" applyBorder="1" applyAlignment="1" applyProtection="1">
      <alignment horizontal="right" vertical="center"/>
    </xf>
    <xf numFmtId="0" fontId="23" fillId="0" borderId="17" xfId="38" applyFont="1" applyFill="1" applyBorder="1" applyAlignment="1" applyProtection="1">
      <alignment horizontal="right" vertical="center"/>
    </xf>
    <xf numFmtId="0" fontId="23" fillId="0" borderId="10" xfId="0" applyFont="1" applyBorder="1" applyAlignment="1" applyProtection="1">
      <alignment horizontal="right" wrapText="1"/>
    </xf>
    <xf numFmtId="0" fontId="23" fillId="0" borderId="0" xfId="0" applyFont="1" applyBorder="1" applyAlignment="1" applyProtection="1">
      <alignment horizontal="right" wrapText="1"/>
    </xf>
    <xf numFmtId="0" fontId="23" fillId="0" borderId="13" xfId="0" applyFont="1" applyBorder="1" applyAlignment="1" applyProtection="1">
      <alignment horizontal="right" wrapText="1"/>
    </xf>
    <xf numFmtId="0" fontId="23" fillId="0" borderId="86" xfId="0" applyFont="1" applyBorder="1" applyAlignment="1" applyProtection="1">
      <alignment horizontal="center"/>
    </xf>
    <xf numFmtId="0" fontId="23" fillId="0" borderId="19" xfId="0" applyFont="1" applyBorder="1" applyAlignment="1" applyProtection="1">
      <alignment horizontal="center"/>
    </xf>
    <xf numFmtId="0" fontId="23" fillId="0" borderId="32" xfId="0" applyFont="1" applyBorder="1" applyAlignment="1" applyProtection="1">
      <alignment horizontal="center"/>
    </xf>
    <xf numFmtId="0" fontId="23" fillId="0" borderId="26" xfId="0" applyFont="1" applyBorder="1" applyAlignment="1" applyProtection="1">
      <alignment horizontal="center"/>
    </xf>
    <xf numFmtId="0" fontId="23" fillId="0" borderId="84"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85" xfId="0" applyFont="1" applyBorder="1" applyAlignment="1" applyProtection="1">
      <alignment horizontal="center" vertical="center" wrapText="1"/>
    </xf>
    <xf numFmtId="0" fontId="23" fillId="0" borderId="28" xfId="0" applyFont="1" applyBorder="1" applyAlignment="1" applyProtection="1">
      <alignment horizontal="right" wrapText="1"/>
    </xf>
    <xf numFmtId="0" fontId="23" fillId="0" borderId="30" xfId="0" applyFont="1" applyBorder="1" applyAlignment="1" applyProtection="1">
      <alignment horizontal="right" wrapText="1"/>
    </xf>
    <xf numFmtId="0" fontId="23" fillId="0" borderId="31" xfId="0" applyFont="1" applyBorder="1" applyAlignment="1" applyProtection="1">
      <alignment horizontal="right" wrapText="1"/>
    </xf>
    <xf numFmtId="0" fontId="23" fillId="0" borderId="10" xfId="50" applyFont="1" applyFill="1" applyBorder="1" applyAlignment="1" applyProtection="1">
      <alignment horizontal="right" wrapText="1"/>
    </xf>
    <xf numFmtId="0" fontId="23" fillId="0" borderId="0" xfId="50" applyFont="1" applyFill="1" applyBorder="1" applyAlignment="1" applyProtection="1">
      <alignment horizontal="right" wrapText="1"/>
    </xf>
    <xf numFmtId="0" fontId="23" fillId="0" borderId="13" xfId="50" applyFont="1" applyFill="1" applyBorder="1" applyAlignment="1" applyProtection="1">
      <alignment horizontal="right" wrapText="1"/>
    </xf>
    <xf numFmtId="0" fontId="23" fillId="0" borderId="83"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23" fillId="0" borderId="43" xfId="0" applyFont="1" applyBorder="1" applyAlignment="1" applyProtection="1">
      <alignment horizontal="center" vertical="center" wrapText="1"/>
    </xf>
    <xf numFmtId="0" fontId="23" fillId="0" borderId="88" xfId="0" applyFont="1" applyBorder="1" applyAlignment="1" applyProtection="1">
      <alignment horizontal="center" vertical="center" wrapText="1"/>
    </xf>
    <xf numFmtId="0" fontId="23" fillId="0" borderId="32" xfId="0" applyFont="1" applyBorder="1" applyAlignment="1" applyProtection="1">
      <alignment horizontal="center" vertical="center" wrapText="1"/>
    </xf>
    <xf numFmtId="0" fontId="23" fillId="0" borderId="28" xfId="0" applyFont="1" applyBorder="1" applyAlignment="1" applyProtection="1">
      <alignment horizontal="center" vertical="center" wrapText="1"/>
    </xf>
    <xf numFmtId="0" fontId="23" fillId="0" borderId="10" xfId="0" applyFont="1" applyBorder="1" applyAlignment="1" applyProtection="1">
      <alignment horizontal="center" vertical="center" wrapText="1"/>
    </xf>
    <xf numFmtId="0" fontId="23" fillId="0" borderId="34" xfId="0" applyFont="1" applyBorder="1" applyAlignment="1" applyProtection="1">
      <alignment horizontal="center" vertical="center" wrapText="1"/>
    </xf>
    <xf numFmtId="0" fontId="23" fillId="0" borderId="28" xfId="50" applyFont="1" applyFill="1" applyBorder="1" applyAlignment="1" applyProtection="1">
      <alignment horizontal="center" vertical="center" wrapText="1"/>
    </xf>
    <xf numFmtId="0" fontId="23" fillId="0" borderId="10" xfId="50" applyFont="1" applyFill="1" applyBorder="1" applyAlignment="1" applyProtection="1">
      <alignment horizontal="center" vertical="center" wrapText="1"/>
    </xf>
    <xf numFmtId="0" fontId="23" fillId="0" borderId="30" xfId="50" applyFont="1" applyFill="1" applyBorder="1" applyAlignment="1" applyProtection="1">
      <alignment horizontal="center" vertical="center" wrapText="1"/>
    </xf>
    <xf numFmtId="0" fontId="23" fillId="0" borderId="0" xfId="50" applyFont="1" applyFill="1" applyBorder="1" applyAlignment="1" applyProtection="1">
      <alignment horizontal="center" vertical="center" wrapText="1"/>
    </xf>
    <xf numFmtId="0" fontId="22" fillId="0" borderId="39" xfId="0" applyFont="1" applyBorder="1" applyAlignment="1" applyProtection="1">
      <alignment horizontal="left" wrapText="1"/>
    </xf>
    <xf numFmtId="0" fontId="22" fillId="0" borderId="0" xfId="0" applyFont="1" applyBorder="1" applyAlignment="1" applyProtection="1">
      <alignment horizontal="left" wrapText="1"/>
    </xf>
    <xf numFmtId="0" fontId="22" fillId="0" borderId="72" xfId="0" applyFont="1" applyBorder="1" applyAlignment="1" applyProtection="1">
      <alignment horizontal="left" wrapText="1"/>
    </xf>
    <xf numFmtId="0" fontId="23" fillId="0" borderId="0" xfId="0" applyFont="1" applyBorder="1" applyAlignment="1" applyProtection="1">
      <alignment horizontal="left" wrapText="1"/>
    </xf>
    <xf numFmtId="166" fontId="22" fillId="0" borderId="0" xfId="0" applyNumberFormat="1" applyFont="1" applyBorder="1" applyAlignment="1" applyProtection="1">
      <alignment horizontal="left" vertical="center"/>
    </xf>
    <xf numFmtId="166" fontId="22" fillId="0" borderId="18" xfId="51" applyNumberFormat="1" applyFont="1" applyBorder="1" applyAlignment="1" applyProtection="1">
      <alignment horizontal="left" vertical="center"/>
    </xf>
    <xf numFmtId="166" fontId="22" fillId="0" borderId="10" xfId="0" applyNumberFormat="1" applyFont="1" applyBorder="1" applyAlignment="1" applyProtection="1">
      <alignment horizontal="right" vertical="center"/>
    </xf>
    <xf numFmtId="0" fontId="21" fillId="0" borderId="0" xfId="0" applyFont="1" applyFill="1" applyAlignment="1" applyProtection="1">
      <alignment horizontal="left"/>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51" builtinId="8"/>
    <cellStyle name="Input" xfId="34" builtinId="20" customBuiltin="1"/>
    <cellStyle name="Linked Cell" xfId="35" builtinId="24" customBuiltin="1"/>
    <cellStyle name="Neutral" xfId="36" builtinId="28" customBuiltin="1"/>
    <cellStyle name="Normal" xfId="0" builtinId="0"/>
    <cellStyle name="Normal 2" xfId="46" xr:uid="{00000000-0005-0000-0000-000026000000}"/>
    <cellStyle name="Normal 2 2" xfId="47" xr:uid="{00000000-0005-0000-0000-000027000000}"/>
    <cellStyle name="Normal 3" xfId="48" xr:uid="{00000000-0005-0000-0000-000028000000}"/>
    <cellStyle name="Normal 8" xfId="44" xr:uid="{00000000-0005-0000-0000-000029000000}"/>
    <cellStyle name="Normal_Funding calculation template for ASNs and transfers" xfId="50" xr:uid="{00000000-0005-0000-0000-00002B000000}"/>
    <cellStyle name="Normal_jul0038" xfId="37" xr:uid="{00000000-0005-0000-0000-00002C000000}"/>
    <cellStyle name="Normal_jul0047 2" xfId="45" xr:uid="{00000000-0005-0000-0000-00002D000000}"/>
    <cellStyle name="Normal_martab" xfId="49" xr:uid="{00000000-0005-0000-0000-00002E000000}"/>
    <cellStyle name="Normal_wpdb_" xfId="38" xr:uid="{00000000-0005-0000-0000-00002F00000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14">
    <dxf>
      <font>
        <color theme="0" tint="-0.14996795556505021"/>
      </font>
    </dxf>
    <dxf>
      <font>
        <color theme="0" tint="-0.14996795556505021"/>
      </font>
    </dxf>
    <dxf>
      <font>
        <color theme="0" tint="-0.24994659260841701"/>
      </font>
    </dxf>
    <dxf>
      <font>
        <color theme="0" tint="-0.24994659260841701"/>
      </font>
      <fill>
        <patternFill patternType="none">
          <bgColor auto="1"/>
        </patternFill>
      </fill>
    </dxf>
    <dxf>
      <font>
        <color theme="0" tint="-0.24994659260841701"/>
      </font>
    </dxf>
    <dxf>
      <font>
        <strike val="0"/>
        <color theme="0" tint="-0.24994659260841701"/>
      </font>
    </dxf>
    <dxf>
      <font>
        <color theme="0" tint="-0.14996795556505021"/>
      </font>
    </dxf>
    <dxf>
      <font>
        <color theme="0" tint="-0.24994659260841701"/>
      </font>
    </dxf>
    <dxf>
      <font>
        <color theme="0" tint="-0.24994659260841701"/>
      </font>
    </dxf>
    <dxf>
      <font>
        <color theme="0" tint="-0.24994659260841701"/>
      </font>
    </dxf>
    <dxf>
      <font>
        <color theme="0" tint="-0.14996795556505021"/>
      </font>
    </dxf>
    <dxf>
      <font>
        <b val="0"/>
        <i val="0"/>
      </font>
    </dxf>
    <dxf>
      <font>
        <color theme="0" tint="-0.24994659260841701"/>
      </font>
    </dxf>
    <dxf>
      <font>
        <color theme="0" tint="-0.2499465926084170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9F3D9"/>
      <color rgb="FFEAEAEA"/>
      <color rgb="FFCAEECA"/>
      <color rgb="FF8BD98B"/>
      <color rgb="FFB7E7B7"/>
      <color rgb="FFD0F4D0"/>
      <color rgb="FFA2E8A2"/>
      <color rgb="FF008000"/>
      <color rgb="FF00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1</xdr:row>
      <xdr:rowOff>57149</xdr:rowOff>
    </xdr:from>
    <xdr:to>
      <xdr:col>9</xdr:col>
      <xdr:colOff>457200</xdr:colOff>
      <xdr:row>1</xdr:row>
      <xdr:rowOff>1590385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561"/>
        <a:stretch/>
      </xdr:blipFill>
      <xdr:spPr>
        <a:xfrm>
          <a:off x="2066925" y="219074"/>
          <a:ext cx="3876675" cy="1530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T15"/>
  <sheetViews>
    <sheetView showGridLines="0" tabSelected="1" zoomScaleNormal="100" workbookViewId="0">
      <selection sqref="A1:M1"/>
    </sheetView>
  </sheetViews>
  <sheetFormatPr defaultColWidth="9.1796875" defaultRowHeight="12.5" x14ac:dyDescent="0.25"/>
  <cols>
    <col min="1" max="16" width="9.1796875" style="475"/>
    <col min="17" max="19" width="9.1796875" style="475" hidden="1" customWidth="1"/>
    <col min="20" max="20" width="9.1796875" style="475" customWidth="1"/>
    <col min="21" max="16384" width="9.1796875" style="475"/>
  </cols>
  <sheetData>
    <row r="1" spans="1:20" x14ac:dyDescent="0.25">
      <c r="A1" s="505"/>
      <c r="B1" s="505"/>
      <c r="C1" s="505"/>
      <c r="D1" s="505"/>
      <c r="E1" s="505"/>
      <c r="F1" s="505"/>
      <c r="G1" s="505"/>
      <c r="H1" s="505"/>
      <c r="I1" s="505"/>
      <c r="J1" s="505"/>
      <c r="K1" s="505"/>
      <c r="L1" s="505"/>
      <c r="M1" s="505"/>
    </row>
    <row r="2" spans="1:20" ht="132.75" customHeight="1" x14ac:dyDescent="0.3">
      <c r="A2" s="506"/>
      <c r="B2" s="506"/>
      <c r="C2" s="506"/>
      <c r="D2" s="506"/>
      <c r="E2" s="506"/>
      <c r="F2" s="506"/>
      <c r="G2" s="506"/>
      <c r="H2" s="506"/>
      <c r="I2" s="506"/>
      <c r="J2" s="506"/>
      <c r="K2" s="506"/>
      <c r="L2" s="506"/>
      <c r="M2" s="506"/>
      <c r="N2" s="1"/>
      <c r="O2" s="1"/>
    </row>
    <row r="3" spans="1:20" s="3" customFormat="1" ht="45.9" customHeight="1" x14ac:dyDescent="0.65">
      <c r="A3" s="507" t="s">
        <v>317</v>
      </c>
      <c r="B3" s="507"/>
      <c r="C3" s="507"/>
      <c r="D3" s="507"/>
      <c r="E3" s="507"/>
      <c r="F3" s="507"/>
      <c r="G3" s="507"/>
      <c r="H3" s="507"/>
      <c r="I3" s="507"/>
      <c r="J3" s="507"/>
      <c r="K3" s="507"/>
      <c r="L3" s="507"/>
      <c r="M3" s="507"/>
      <c r="N3" s="2"/>
      <c r="O3" s="2"/>
      <c r="P3" s="2"/>
      <c r="Q3" s="2"/>
    </row>
    <row r="4" spans="1:20" s="3" customFormat="1" ht="55.5" customHeight="1" x14ac:dyDescent="0.65">
      <c r="A4" s="507" t="str">
        <f>'A Summary'!J6</f>
        <v>Sector summary of all providers</v>
      </c>
      <c r="B4" s="507" t="str">
        <f t="shared" ref="B4:M4" si="0">IF(PROVIDER="","Institution",PROVIDER)</f>
        <v>Institution</v>
      </c>
      <c r="C4" s="507" t="str">
        <f t="shared" si="0"/>
        <v>Institution</v>
      </c>
      <c r="D4" s="507" t="str">
        <f t="shared" si="0"/>
        <v>Institution</v>
      </c>
      <c r="E4" s="507" t="str">
        <f t="shared" si="0"/>
        <v>Institution</v>
      </c>
      <c r="F4" s="507" t="str">
        <f t="shared" si="0"/>
        <v>Institution</v>
      </c>
      <c r="G4" s="507" t="str">
        <f t="shared" si="0"/>
        <v>Institution</v>
      </c>
      <c r="H4" s="507" t="str">
        <f t="shared" si="0"/>
        <v>Institution</v>
      </c>
      <c r="I4" s="507" t="str">
        <f t="shared" si="0"/>
        <v>Institution</v>
      </c>
      <c r="J4" s="507" t="str">
        <f t="shared" si="0"/>
        <v>Institution</v>
      </c>
      <c r="K4" s="507" t="str">
        <f t="shared" si="0"/>
        <v>Institution</v>
      </c>
      <c r="L4" s="507" t="str">
        <f t="shared" si="0"/>
        <v>Institution</v>
      </c>
      <c r="M4" s="507" t="str">
        <f t="shared" si="0"/>
        <v>Institution</v>
      </c>
      <c r="N4" s="2"/>
      <c r="O4" s="2"/>
      <c r="P4" s="2"/>
      <c r="Q4" s="2"/>
    </row>
    <row r="5" spans="1:20" s="3" customFormat="1" ht="32.5" x14ac:dyDescent="0.65">
      <c r="A5" s="503" t="str">
        <f>IF(UKPRN="","UKPRN: 100XXXXX","UKPRN: "&amp;UKPRN&amp;"")</f>
        <v>UKPRN: ALL</v>
      </c>
      <c r="B5" s="503"/>
      <c r="C5" s="503"/>
      <c r="D5" s="503"/>
      <c r="E5" s="503"/>
      <c r="F5" s="503"/>
      <c r="G5" s="503"/>
      <c r="H5" s="503"/>
      <c r="I5" s="503"/>
      <c r="J5" s="503"/>
      <c r="K5" s="503"/>
      <c r="L5" s="503"/>
      <c r="M5" s="503"/>
      <c r="N5" s="4"/>
      <c r="O5" s="4"/>
      <c r="P5" s="4"/>
      <c r="Q5" s="4"/>
    </row>
    <row r="6" spans="1:20" x14ac:dyDescent="0.25">
      <c r="A6" s="505"/>
      <c r="B6" s="505"/>
      <c r="C6" s="505"/>
      <c r="D6" s="505"/>
      <c r="E6" s="505"/>
      <c r="F6" s="505"/>
      <c r="G6" s="505"/>
      <c r="H6" s="505"/>
      <c r="I6" s="505"/>
      <c r="J6" s="505"/>
      <c r="K6" s="505"/>
      <c r="L6" s="505"/>
      <c r="M6" s="505"/>
    </row>
    <row r="7" spans="1:20" ht="14" x14ac:dyDescent="0.3">
      <c r="A7" s="504" t="s">
        <v>34</v>
      </c>
      <c r="B7" s="504"/>
      <c r="C7" s="504"/>
      <c r="D7" s="504"/>
      <c r="E7" s="504"/>
      <c r="F7" s="504"/>
      <c r="G7" s="504"/>
      <c r="H7" s="504"/>
      <c r="I7" s="504"/>
      <c r="J7" s="504"/>
      <c r="K7" s="504"/>
      <c r="L7" s="504"/>
      <c r="M7" s="504"/>
    </row>
    <row r="8" spans="1:20" ht="15" customHeight="1" x14ac:dyDescent="0.3">
      <c r="A8" s="502" t="str">
        <f>"A Summary: "&amp;MID('A Summary'!A3,10,100)</f>
        <v>A Summary: 2019-20 Summary of allocations</v>
      </c>
      <c r="B8" s="502"/>
      <c r="C8" s="502"/>
      <c r="D8" s="502"/>
      <c r="E8" s="502"/>
      <c r="F8" s="502"/>
      <c r="G8" s="502"/>
      <c r="H8" s="502"/>
      <c r="I8" s="502"/>
      <c r="J8" s="502"/>
      <c r="K8" s="502"/>
      <c r="L8" s="502"/>
      <c r="M8" s="502"/>
      <c r="N8" s="474"/>
      <c r="O8" s="474"/>
    </row>
    <row r="9" spans="1:20" ht="15" customHeight="1" x14ac:dyDescent="0.3">
      <c r="A9" s="502" t="str">
        <f>"B High-cost: "&amp;MID('B High-cost'!A3,10,100)</f>
        <v>B High-cost: 2019-20 High-cost subject funding</v>
      </c>
      <c r="B9" s="502"/>
      <c r="C9" s="502"/>
      <c r="D9" s="502"/>
      <c r="E9" s="502"/>
      <c r="F9" s="502"/>
      <c r="G9" s="502"/>
      <c r="H9" s="502"/>
      <c r="I9" s="502"/>
      <c r="J9" s="502"/>
      <c r="K9" s="502"/>
      <c r="L9" s="502"/>
      <c r="M9" s="502"/>
      <c r="N9" s="474"/>
      <c r="O9" s="474"/>
    </row>
    <row r="10" spans="1:20" ht="15" customHeight="1" x14ac:dyDescent="0.3">
      <c r="A10" s="502" t="str">
        <f>"C Student premium: "&amp;MID('C Student premium'!A3,10,100)</f>
        <v>C Student premium: 2019-20 Student premium allocations</v>
      </c>
      <c r="B10" s="502"/>
      <c r="C10" s="502"/>
      <c r="D10" s="502"/>
      <c r="E10" s="502"/>
      <c r="F10" s="502"/>
      <c r="G10" s="502"/>
      <c r="H10" s="502"/>
      <c r="I10" s="502"/>
      <c r="J10" s="502"/>
      <c r="K10" s="502"/>
      <c r="L10" s="502"/>
      <c r="M10" s="502"/>
      <c r="N10" s="474"/>
      <c r="O10" s="474"/>
      <c r="R10" s="497"/>
      <c r="S10" s="497"/>
      <c r="T10" s="497"/>
    </row>
    <row r="11" spans="1:20" ht="15" customHeight="1" x14ac:dyDescent="0.3">
      <c r="A11" s="502" t="str">
        <f>"D Erasmus+: "&amp;MID('D Erasmus+'!A3,10,100)</f>
        <v>D Erasmus+: 2019-20 Erasmus+ and overseas study programmes</v>
      </c>
      <c r="B11" s="502"/>
      <c r="C11" s="502"/>
      <c r="D11" s="502"/>
      <c r="E11" s="502"/>
      <c r="F11" s="502"/>
      <c r="G11" s="502"/>
      <c r="H11" s="502"/>
      <c r="I11" s="502"/>
      <c r="J11" s="502"/>
      <c r="K11" s="502"/>
      <c r="L11" s="502"/>
      <c r="M11" s="502"/>
      <c r="N11" s="474"/>
      <c r="O11" s="474"/>
      <c r="R11" s="497"/>
      <c r="S11" s="498"/>
      <c r="T11" s="497"/>
    </row>
    <row r="12" spans="1:20" ht="15" customHeight="1" x14ac:dyDescent="0.3">
      <c r="A12" s="502" t="str">
        <f>"E NMAH supplement: "&amp;MID('E NMAH supplement'!A3,10,100)</f>
        <v>E NMAH supplement: 2019-20 Nursing, midwifery and allied health supplement</v>
      </c>
      <c r="B12" s="502"/>
      <c r="C12" s="502"/>
      <c r="D12" s="502"/>
      <c r="E12" s="502"/>
      <c r="F12" s="502"/>
      <c r="G12" s="502"/>
      <c r="H12" s="502"/>
      <c r="I12" s="502"/>
      <c r="J12" s="502"/>
      <c r="K12" s="502"/>
      <c r="L12" s="502"/>
      <c r="M12" s="502"/>
      <c r="N12" s="474"/>
      <c r="O12" s="474"/>
      <c r="R12" s="497"/>
      <c r="S12" s="498"/>
      <c r="T12" s="497"/>
    </row>
    <row r="13" spans="1:20" ht="15" customHeight="1" x14ac:dyDescent="0.3">
      <c r="A13" s="502" t="str">
        <f>"F Very high-cost STEM subjects: "&amp;MID('F Very high-cost STEM subjects'!A3,10,100)</f>
        <v>F Very high-cost STEM subjects: 2019-20 Very high-cost STEM subjects targeted allocation</v>
      </c>
      <c r="B13" s="502"/>
      <c r="C13" s="502"/>
      <c r="D13" s="502"/>
      <c r="E13" s="502"/>
      <c r="F13" s="502"/>
      <c r="G13" s="502"/>
      <c r="H13" s="502"/>
      <c r="I13" s="502"/>
      <c r="J13" s="502"/>
      <c r="K13" s="502"/>
      <c r="L13" s="502"/>
      <c r="M13" s="502"/>
      <c r="N13" s="5"/>
      <c r="O13" s="5"/>
      <c r="P13" s="5"/>
      <c r="Q13" s="5"/>
      <c r="R13" s="497"/>
      <c r="S13" s="498"/>
      <c r="T13" s="497"/>
    </row>
    <row r="14" spans="1:20" ht="15" customHeight="1" x14ac:dyDescent="0.3">
      <c r="A14" s="502" t="str">
        <f>"G Other TAs: "&amp;MID('G Other TAs'!A3,10,100)</f>
        <v>G Other TAs: 2019-20 Other targeted allocations</v>
      </c>
      <c r="B14" s="502"/>
      <c r="C14" s="502"/>
      <c r="D14" s="502"/>
      <c r="E14" s="502"/>
      <c r="F14" s="502"/>
      <c r="G14" s="502"/>
      <c r="H14" s="502"/>
      <c r="I14" s="502"/>
      <c r="J14" s="502"/>
      <c r="K14" s="502"/>
      <c r="L14" s="502"/>
      <c r="M14" s="502"/>
      <c r="N14" s="474"/>
      <c r="O14" s="474"/>
      <c r="R14" s="497"/>
      <c r="S14" s="497"/>
      <c r="T14" s="497"/>
    </row>
    <row r="15" spans="1:20" ht="15" customHeight="1" x14ac:dyDescent="0.3">
      <c r="A15" s="502" t="str">
        <f>"H Parameters: "&amp;MID('H Parameters'!A3,10,100)</f>
        <v>H Parameters: 2019-20 Parameters in the funding models</v>
      </c>
      <c r="B15" s="502"/>
      <c r="C15" s="502"/>
      <c r="D15" s="502"/>
      <c r="E15" s="502"/>
      <c r="F15" s="502"/>
      <c r="G15" s="502"/>
      <c r="H15" s="502"/>
      <c r="I15" s="502"/>
      <c r="J15" s="502"/>
      <c r="K15" s="502"/>
      <c r="L15" s="502"/>
      <c r="M15" s="502"/>
      <c r="N15" s="474"/>
      <c r="O15" s="474"/>
      <c r="R15" s="497"/>
      <c r="S15" s="497"/>
      <c r="T15" s="497"/>
    </row>
  </sheetData>
  <mergeCells count="15">
    <mergeCell ref="A15:M15"/>
    <mergeCell ref="A3:M3"/>
    <mergeCell ref="A10:M10"/>
    <mergeCell ref="A4:M4"/>
    <mergeCell ref="A1:M1"/>
    <mergeCell ref="A2:M2"/>
    <mergeCell ref="A6:M6"/>
    <mergeCell ref="A12:M12"/>
    <mergeCell ref="A14:M14"/>
    <mergeCell ref="A11:M11"/>
    <mergeCell ref="A13:M13"/>
    <mergeCell ref="A5:M5"/>
    <mergeCell ref="A7:M7"/>
    <mergeCell ref="A8:M8"/>
    <mergeCell ref="A9:M9"/>
  </mergeCells>
  <hyperlinks>
    <hyperlink ref="A9:M9" location="TABLEB" display="TABLEB" xr:uid="{00000000-0004-0000-0000-000000000000}"/>
    <hyperlink ref="A10:M10" location="TABLEC" display="TABLEC" xr:uid="{00000000-0004-0000-0000-000001000000}"/>
    <hyperlink ref="A11:M11" location="TABLED" display="TABLED" xr:uid="{00000000-0004-0000-0000-000002000000}"/>
    <hyperlink ref="A12:M12" location="TABLEE" display="TABLEE" xr:uid="{00000000-0004-0000-0000-000003000000}"/>
    <hyperlink ref="A13:M13" location="TABLEF" display="TABLEF" xr:uid="{00000000-0004-0000-0000-000008000000}"/>
    <hyperlink ref="A14:M14" location="TABLEG" display="TABLEG" xr:uid="{00000000-0004-0000-0000-000009000000}"/>
    <hyperlink ref="A15:M15" location="TABLEH" display="TABLEH" xr:uid="{00000000-0004-0000-0000-00000A000000}"/>
    <hyperlink ref="A8:M8" location="TABLEA" display="TABLEA" xr:uid="{00000000-0004-0000-0000-00000C000000}"/>
  </hyperlinks>
  <pageMargins left="0.70866141732283472" right="0.70866141732283472" top="0.74803149606299213" bottom="0.74803149606299213" header="0.31496062992125984" footer="0.31496062992125984"/>
  <pageSetup paperSize="9" scale="83" orientation="landscape" r:id="rId1"/>
  <headerFooter>
    <oddHeader>&amp;CPage &amp;P&amp;R&amp;F</oddHeader>
  </headerFooter>
  <ignoredErrors>
    <ignoredError sqref="A4:M11 A12:M1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39997558519241921"/>
    <pageSetUpPr fitToPage="1"/>
  </sheetPr>
  <dimension ref="A1:Q37"/>
  <sheetViews>
    <sheetView showGridLines="0" zoomScaleNormal="100" workbookViewId="0">
      <pane ySplit="4" topLeftCell="A5" activePane="bottomLeft" state="frozen"/>
      <selection sqref="A1:J1"/>
      <selection pane="bottomLeft"/>
    </sheetView>
  </sheetViews>
  <sheetFormatPr defaultColWidth="9.1796875" defaultRowHeight="13.5" x14ac:dyDescent="0.3"/>
  <cols>
    <col min="1" max="1" width="4.26953125" style="7" customWidth="1"/>
    <col min="2" max="2" width="61.7265625" style="7" customWidth="1"/>
    <col min="3" max="3" width="15.90625" style="11" customWidth="1"/>
    <col min="4" max="4" width="8.453125" style="11" customWidth="1"/>
    <col min="5" max="5" width="20.90625" style="11" customWidth="1"/>
    <col min="6" max="6" width="13.26953125" style="11" customWidth="1"/>
    <col min="7" max="7" width="10.81640625" style="7" customWidth="1"/>
    <col min="8" max="8" width="17.54296875" style="7" hidden="1" customWidth="1"/>
    <col min="9" max="9" width="9.1796875" style="7" customWidth="1"/>
    <col min="10" max="10" width="16.453125" style="7" hidden="1" customWidth="1"/>
    <col min="11" max="11" width="9.1796875" style="7" hidden="1" customWidth="1"/>
    <col min="12" max="12" width="17.26953125" style="7" hidden="1" customWidth="1"/>
    <col min="13" max="13" width="11.54296875" style="7" hidden="1" customWidth="1"/>
    <col min="14" max="14" width="16.453125" style="7" customWidth="1"/>
    <col min="15" max="16" width="9.1796875" style="7" customWidth="1"/>
    <col min="17" max="16384" width="9.1796875" style="7"/>
  </cols>
  <sheetData>
    <row r="1" spans="1:17" ht="15.75" customHeight="1" x14ac:dyDescent="0.3">
      <c r="A1" s="495" t="str">
        <f>J8</f>
        <v xml:space="preserve">Sector summary of all providers </v>
      </c>
      <c r="B1" s="495"/>
      <c r="D1" s="495"/>
      <c r="E1" s="6"/>
      <c r="J1" s="8" t="s">
        <v>212</v>
      </c>
      <c r="K1" s="8" t="s">
        <v>108</v>
      </c>
      <c r="L1" s="8" t="s">
        <v>292</v>
      </c>
      <c r="M1" s="26" t="s">
        <v>315</v>
      </c>
      <c r="N1" s="26"/>
      <c r="O1" s="26"/>
      <c r="P1" s="15"/>
      <c r="Q1" s="15"/>
    </row>
    <row r="2" spans="1:17" ht="15.5" x14ac:dyDescent="0.35">
      <c r="B2" s="9"/>
      <c r="C2" s="9"/>
      <c r="D2" s="9"/>
      <c r="E2" s="10"/>
      <c r="J2" s="12"/>
      <c r="K2" s="12" t="s">
        <v>319</v>
      </c>
      <c r="L2" s="375"/>
      <c r="M2" s="499"/>
      <c r="N2" s="15"/>
      <c r="O2" s="15"/>
      <c r="P2" s="15"/>
      <c r="Q2" s="15"/>
    </row>
    <row r="3" spans="1:17" ht="22.65" customHeight="1" thickBot="1" x14ac:dyDescent="0.35">
      <c r="A3" s="13" t="str">
        <f>K4</f>
        <v>Table A: 2019-20 Summary of allocations</v>
      </c>
      <c r="B3" s="14"/>
      <c r="E3" s="10"/>
      <c r="H3" s="15"/>
      <c r="I3" s="15"/>
      <c r="J3" s="8" t="s">
        <v>190</v>
      </c>
      <c r="K3" s="8" t="s">
        <v>88</v>
      </c>
    </row>
    <row r="4" spans="1:17" ht="58.65" customHeight="1" x14ac:dyDescent="0.3">
      <c r="A4" s="16"/>
      <c r="B4" s="16"/>
      <c r="C4" s="17" t="s">
        <v>314</v>
      </c>
      <c r="D4" s="18"/>
      <c r="E4" s="19" t="s">
        <v>214</v>
      </c>
      <c r="F4" s="18"/>
      <c r="H4" s="20" t="s">
        <v>57</v>
      </c>
      <c r="J4" s="377" t="s">
        <v>316</v>
      </c>
      <c r="K4" s="7" t="s">
        <v>248</v>
      </c>
    </row>
    <row r="5" spans="1:17" s="15" customFormat="1" ht="30" customHeight="1" x14ac:dyDescent="0.3">
      <c r="A5" s="496" t="s">
        <v>222</v>
      </c>
      <c r="B5" s="496"/>
      <c r="C5" s="21">
        <v>712608624</v>
      </c>
      <c r="D5" s="22"/>
      <c r="E5" s="23">
        <v>51193964</v>
      </c>
      <c r="F5" s="24"/>
      <c r="H5" s="25" t="s">
        <v>53</v>
      </c>
      <c r="J5" s="26" t="s">
        <v>213</v>
      </c>
    </row>
    <row r="6" spans="1:17" s="15" customFormat="1" ht="23.25" customHeight="1" x14ac:dyDescent="0.3">
      <c r="A6" s="27" t="s">
        <v>44</v>
      </c>
      <c r="B6" s="27"/>
      <c r="C6" s="28"/>
      <c r="D6" s="24"/>
      <c r="E6" s="24"/>
      <c r="F6" s="24"/>
      <c r="H6" s="29"/>
      <c r="J6" s="15" t="str">
        <f>IF(PROVIDER&lt;&gt;"",PROVIDER,IF(UKPRN="ALL","Sector summary of all providers","Provider"))</f>
        <v>Sector summary of all providers</v>
      </c>
    </row>
    <row r="7" spans="1:17" s="15" customFormat="1" ht="19.5" customHeight="1" x14ac:dyDescent="0.3">
      <c r="A7" s="26"/>
      <c r="B7" s="30" t="s">
        <v>228</v>
      </c>
      <c r="C7" s="28">
        <v>161036166</v>
      </c>
      <c r="D7" s="24"/>
      <c r="E7" s="24">
        <v>13066138</v>
      </c>
      <c r="F7" s="24"/>
      <c r="H7" s="25" t="s">
        <v>85</v>
      </c>
      <c r="J7" s="15" t="str">
        <f>IF(PROVIDER&lt;&gt;"","(UKPRN: "&amp;UKPRN&amp;")","")</f>
        <v/>
      </c>
    </row>
    <row r="8" spans="1:17" s="15" customFormat="1" ht="15" customHeight="1" x14ac:dyDescent="0.3">
      <c r="A8" s="26"/>
      <c r="B8" s="30" t="s">
        <v>226</v>
      </c>
      <c r="C8" s="31">
        <v>71169827</v>
      </c>
      <c r="D8" s="22"/>
      <c r="E8" s="22">
        <v>940341</v>
      </c>
      <c r="F8" s="24"/>
      <c r="H8" s="25" t="s">
        <v>86</v>
      </c>
      <c r="J8" s="15" t="str">
        <f>J6&amp;" "&amp;J7</f>
        <v xml:space="preserve">Sector summary of all providers </v>
      </c>
    </row>
    <row r="9" spans="1:17" s="15" customFormat="1" ht="15" customHeight="1" x14ac:dyDescent="0.3">
      <c r="A9" s="26"/>
      <c r="B9" s="30" t="s">
        <v>50</v>
      </c>
      <c r="C9" s="31">
        <v>39722827</v>
      </c>
      <c r="D9" s="22"/>
      <c r="E9" s="22">
        <v>2290466</v>
      </c>
      <c r="F9" s="24"/>
      <c r="H9" s="25" t="s">
        <v>87</v>
      </c>
    </row>
    <row r="10" spans="1:17" s="15" customFormat="1" ht="15" customHeight="1" x14ac:dyDescent="0.3">
      <c r="A10" s="26"/>
      <c r="B10" s="30" t="s">
        <v>38</v>
      </c>
      <c r="C10" s="31">
        <v>29821830</v>
      </c>
      <c r="D10" s="22"/>
      <c r="E10" s="473">
        <v>0</v>
      </c>
      <c r="F10" s="32"/>
      <c r="G10" s="32"/>
      <c r="H10" s="25" t="s">
        <v>63</v>
      </c>
    </row>
    <row r="11" spans="1:17" s="15" customFormat="1" ht="15" customHeight="1" x14ac:dyDescent="0.3">
      <c r="A11" s="26"/>
      <c r="B11" s="30" t="s">
        <v>189</v>
      </c>
      <c r="C11" s="31">
        <v>20371689</v>
      </c>
      <c r="D11" s="22"/>
      <c r="E11" s="22">
        <v>20371689</v>
      </c>
      <c r="F11" s="32"/>
      <c r="G11" s="32"/>
      <c r="H11" s="25" t="s">
        <v>89</v>
      </c>
    </row>
    <row r="12" spans="1:17" s="15" customFormat="1" ht="15" customHeight="1" x14ac:dyDescent="0.3">
      <c r="A12" s="26"/>
      <c r="B12" s="30" t="s">
        <v>48</v>
      </c>
      <c r="C12" s="31">
        <v>8377622</v>
      </c>
      <c r="D12" s="22"/>
      <c r="E12" s="473">
        <v>0</v>
      </c>
      <c r="F12" s="24"/>
      <c r="H12" s="25" t="s">
        <v>60</v>
      </c>
    </row>
    <row r="13" spans="1:17" s="15" customFormat="1" ht="15" customHeight="1" x14ac:dyDescent="0.3">
      <c r="A13" s="26"/>
      <c r="B13" s="30" t="s">
        <v>28</v>
      </c>
      <c r="C13" s="31">
        <v>34977389</v>
      </c>
      <c r="D13" s="22"/>
      <c r="E13" s="22">
        <v>24378</v>
      </c>
      <c r="F13" s="24"/>
      <c r="H13" s="25" t="s">
        <v>61</v>
      </c>
    </row>
    <row r="14" spans="1:17" s="15" customFormat="1" ht="15" customHeight="1" x14ac:dyDescent="0.3">
      <c r="A14" s="26"/>
      <c r="B14" s="30" t="s">
        <v>223</v>
      </c>
      <c r="C14" s="31">
        <v>4360249</v>
      </c>
      <c r="D14" s="22"/>
      <c r="E14" s="22">
        <v>0</v>
      </c>
      <c r="F14" s="24"/>
      <c r="H14" s="25" t="s">
        <v>62</v>
      </c>
    </row>
    <row r="15" spans="1:17" s="15" customFormat="1" ht="15" customHeight="1" x14ac:dyDescent="0.3">
      <c r="A15" s="26"/>
      <c r="B15" s="30" t="s">
        <v>37</v>
      </c>
      <c r="C15" s="31">
        <v>69091542</v>
      </c>
      <c r="D15" s="22"/>
      <c r="E15" s="22">
        <v>3476257</v>
      </c>
      <c r="F15" s="24"/>
      <c r="H15" s="25" t="s">
        <v>64</v>
      </c>
    </row>
    <row r="16" spans="1:17" s="15" customFormat="1" ht="15" customHeight="1" x14ac:dyDescent="0.3">
      <c r="A16" s="26"/>
      <c r="B16" s="30" t="s">
        <v>230</v>
      </c>
      <c r="C16" s="31">
        <v>25082070</v>
      </c>
      <c r="D16" s="22"/>
      <c r="E16" s="473">
        <v>0</v>
      </c>
      <c r="F16" s="24"/>
      <c r="H16" s="25" t="s">
        <v>262</v>
      </c>
    </row>
    <row r="17" spans="1:12" s="15" customFormat="1" ht="15" customHeight="1" x14ac:dyDescent="0.3">
      <c r="A17" s="26"/>
      <c r="B17" s="15" t="s">
        <v>45</v>
      </c>
      <c r="C17" s="31">
        <v>43372067</v>
      </c>
      <c r="D17" s="22"/>
      <c r="E17" s="473">
        <v>0</v>
      </c>
      <c r="F17" s="24"/>
      <c r="H17" s="25" t="s">
        <v>65</v>
      </c>
    </row>
    <row r="18" spans="1:12" s="15" customFormat="1" ht="15" customHeight="1" x14ac:dyDescent="0.3">
      <c r="A18" s="26"/>
      <c r="B18" s="15" t="s">
        <v>16</v>
      </c>
      <c r="C18" s="31">
        <v>16994596</v>
      </c>
      <c r="D18" s="22"/>
      <c r="E18" s="473">
        <v>0</v>
      </c>
      <c r="F18" s="24"/>
      <c r="H18" s="25" t="s">
        <v>66</v>
      </c>
    </row>
    <row r="19" spans="1:12" s="15" customFormat="1" ht="15" customHeight="1" x14ac:dyDescent="0.3">
      <c r="A19" s="26"/>
      <c r="B19" s="15" t="s">
        <v>22</v>
      </c>
      <c r="C19" s="31">
        <v>906719</v>
      </c>
      <c r="D19" s="22"/>
      <c r="E19" s="473">
        <v>0</v>
      </c>
      <c r="F19" s="24"/>
      <c r="H19" s="25" t="s">
        <v>67</v>
      </c>
    </row>
    <row r="20" spans="1:12" s="15" customFormat="1" ht="15" customHeight="1" x14ac:dyDescent="0.3">
      <c r="A20" s="26"/>
      <c r="B20" s="15" t="s">
        <v>17</v>
      </c>
      <c r="C20" s="31">
        <v>5140452</v>
      </c>
      <c r="D20" s="22"/>
      <c r="E20" s="473">
        <v>0</v>
      </c>
      <c r="F20" s="24"/>
      <c r="H20" s="25" t="s">
        <v>68</v>
      </c>
    </row>
    <row r="21" spans="1:12" s="15" customFormat="1" ht="30.75" customHeight="1" x14ac:dyDescent="0.3">
      <c r="A21" s="33"/>
      <c r="B21" s="34" t="s">
        <v>109</v>
      </c>
      <c r="C21" s="35">
        <v>530425046</v>
      </c>
      <c r="D21" s="22"/>
      <c r="E21" s="36">
        <v>40169269</v>
      </c>
      <c r="F21" s="24"/>
      <c r="H21" s="25" t="s">
        <v>54</v>
      </c>
    </row>
    <row r="22" spans="1:12" s="15" customFormat="1" ht="30.75" customHeight="1" thickBot="1" x14ac:dyDescent="0.35">
      <c r="A22" s="37" t="s">
        <v>246</v>
      </c>
      <c r="B22" s="38"/>
      <c r="C22" s="39">
        <v>1243033670</v>
      </c>
      <c r="D22" s="24"/>
      <c r="E22" s="40">
        <v>91363233</v>
      </c>
      <c r="F22" s="24"/>
      <c r="H22" s="25" t="s">
        <v>55</v>
      </c>
    </row>
    <row r="23" spans="1:12" s="15" customFormat="1" x14ac:dyDescent="0.3">
      <c r="C23" s="41"/>
      <c r="D23" s="42"/>
      <c r="E23" s="43"/>
      <c r="F23" s="42"/>
      <c r="H23" s="44"/>
    </row>
    <row r="24" spans="1:12" s="15" customFormat="1" x14ac:dyDescent="0.3">
      <c r="C24" s="41"/>
      <c r="D24" s="42"/>
      <c r="E24" s="43"/>
      <c r="F24" s="42"/>
      <c r="H24" s="44"/>
    </row>
    <row r="25" spans="1:12" s="15" customFormat="1" ht="22.65" customHeight="1" thickBot="1" x14ac:dyDescent="0.35">
      <c r="A25" s="393"/>
      <c r="B25" s="394"/>
      <c r="C25" s="395"/>
      <c r="E25" s="46"/>
      <c r="F25" s="24"/>
    </row>
    <row r="26" spans="1:12" s="15" customFormat="1" ht="19.5" customHeight="1" x14ac:dyDescent="0.3">
      <c r="A26" s="50" t="s">
        <v>231</v>
      </c>
      <c r="B26" s="48"/>
      <c r="C26" s="401">
        <f>IF(MEDINTAR&gt;0,MEDINTAR,"Not applicable")</f>
        <v>7391</v>
      </c>
      <c r="D26" s="28"/>
      <c r="E26" s="49"/>
      <c r="F26" s="24"/>
      <c r="J26" s="25" t="s">
        <v>58</v>
      </c>
      <c r="K26" s="320">
        <v>7391</v>
      </c>
      <c r="L26" s="44"/>
    </row>
    <row r="27" spans="1:12" s="15" customFormat="1" ht="21.75" customHeight="1" x14ac:dyDescent="0.3">
      <c r="A27" s="51"/>
      <c r="B27" s="52" t="s">
        <v>187</v>
      </c>
      <c r="C27" s="487">
        <f>IF(MEDINTAR&gt;0,MEDINTAR_ISOV,"Not applicable")</f>
        <v>456</v>
      </c>
      <c r="D27" s="28"/>
      <c r="E27" s="49"/>
      <c r="F27" s="24"/>
      <c r="J27" s="25" t="s">
        <v>155</v>
      </c>
      <c r="K27" s="320">
        <v>456</v>
      </c>
      <c r="L27" s="44"/>
    </row>
    <row r="28" spans="1:12" s="15" customFormat="1" ht="18.899999999999999" customHeight="1" x14ac:dyDescent="0.3">
      <c r="A28" s="53" t="s">
        <v>232</v>
      </c>
      <c r="B28" s="50"/>
      <c r="C28" s="54">
        <f>IF(DENINTAR&gt;0,DENINTAR,"Not applicable")</f>
        <v>809</v>
      </c>
      <c r="D28" s="28"/>
      <c r="E28" s="49"/>
      <c r="F28" s="24"/>
      <c r="J28" s="25" t="s">
        <v>59</v>
      </c>
      <c r="K28" s="320">
        <v>809</v>
      </c>
      <c r="L28" s="44"/>
    </row>
    <row r="29" spans="1:12" s="15" customFormat="1" ht="21.75" customHeight="1" thickBot="1" x14ac:dyDescent="0.35">
      <c r="A29" s="55"/>
      <c r="B29" s="56" t="s">
        <v>187</v>
      </c>
      <c r="C29" s="57">
        <f>IF(DENINTAR&gt;0,DENINTAR_ISOV,"Not applicable")</f>
        <v>43</v>
      </c>
      <c r="D29" s="28"/>
      <c r="E29" s="49"/>
      <c r="F29" s="24"/>
      <c r="J29" s="25" t="s">
        <v>156</v>
      </c>
      <c r="K29" s="320">
        <v>43</v>
      </c>
      <c r="L29" s="44"/>
    </row>
    <row r="30" spans="1:12" ht="15.75" customHeight="1" x14ac:dyDescent="0.3">
      <c r="C30" s="41"/>
      <c r="D30" s="41"/>
      <c r="E30" s="41"/>
      <c r="J30" s="15"/>
    </row>
    <row r="31" spans="1:12" hidden="1" x14ac:dyDescent="0.3">
      <c r="C31" s="58" t="s">
        <v>313</v>
      </c>
      <c r="D31" s="59"/>
      <c r="E31" s="58" t="s">
        <v>84</v>
      </c>
      <c r="F31" s="60"/>
      <c r="J31" s="15"/>
    </row>
    <row r="32" spans="1:12" hidden="1" x14ac:dyDescent="0.3">
      <c r="C32" s="500"/>
      <c r="F32" s="24"/>
      <c r="J32" s="15"/>
    </row>
    <row r="33" spans="2:10" ht="15" customHeight="1" x14ac:dyDescent="0.3">
      <c r="B33" s="15"/>
      <c r="C33" s="24"/>
      <c r="D33" s="24"/>
      <c r="E33" s="24"/>
      <c r="F33" s="24"/>
      <c r="G33" s="15"/>
      <c r="J33" s="15"/>
    </row>
    <row r="34" spans="2:10" x14ac:dyDescent="0.3">
      <c r="B34" s="15"/>
      <c r="C34" s="24"/>
      <c r="D34" s="24"/>
      <c r="E34" s="24"/>
      <c r="F34" s="24"/>
      <c r="G34" s="15"/>
      <c r="J34" s="15"/>
    </row>
    <row r="35" spans="2:10" x14ac:dyDescent="0.3">
      <c r="J35" s="15"/>
    </row>
    <row r="36" spans="2:10" x14ac:dyDescent="0.3">
      <c r="J36" s="15"/>
    </row>
    <row r="37" spans="2:10" x14ac:dyDescent="0.3">
      <c r="J37" s="15"/>
    </row>
  </sheetData>
  <conditionalFormatting sqref="E5 E7:E9 E11 E13:E15 E21:E22">
    <cfRule type="cellIs" dxfId="13" priority="4" operator="equal">
      <formula>0</formula>
    </cfRule>
  </conditionalFormatting>
  <conditionalFormatting sqref="C5 C7:C22">
    <cfRule type="cellIs" dxfId="12" priority="2" operator="equal">
      <formula>0</formula>
    </cfRule>
  </conditionalFormatting>
  <conditionalFormatting sqref="C26:C29">
    <cfRule type="cellIs" dxfId="11" priority="1" operator="equal">
      <formula>"Not applicable"</formula>
    </cfRule>
  </conditionalFormatting>
  <hyperlinks>
    <hyperlink ref="A5:B5" location="HIGHCOST" display="High-cost subject funding" xr:uid="{00000000-0004-0000-0100-000000000000}"/>
    <hyperlink ref="B7" location="SP_FT" display="Premium to support successful student outcomes: full-time" xr:uid="{00000000-0004-0000-0100-000001000000}"/>
    <hyperlink ref="B8" location="SP_PT" display="Premium to support successful student outcomes: part-time" xr:uid="{00000000-0004-0000-0100-000002000000}"/>
    <hyperlink ref="B9" location="DISABLED" display="Disabled students' premium" xr:uid="{00000000-0004-0000-0100-000003000000}"/>
    <hyperlink ref="B10" location="ERAS_TA" display="Erasmus+ and overseas study programmes" xr:uid="{00000000-0004-0000-0100-000004000000}"/>
    <hyperlink ref="B11" location="HEALTH_TA" display="Nursing and allied health supplement" xr:uid="{00000000-0004-0000-0100-000005000000}"/>
    <hyperlink ref="B12" location="PGTS_TA" display="Postgraduate taught supplement" xr:uid="{00000000-0004-0000-0100-000006000000}"/>
    <hyperlink ref="B13" location="INT_TA" display="Intensive postgraduate provision" xr:uid="{00000000-0004-0000-0100-000007000000}"/>
    <hyperlink ref="B14" location="ACCL_TA" display="Accelerated full-time undergraduate provision" xr:uid="{00000000-0004-0000-0100-000008000000}"/>
    <hyperlink ref="B15" location="LOND_TA" display="Students attending courses in London" xr:uid="{00000000-0004-0000-0100-000009000000}"/>
    <hyperlink ref="B16" location="VHCSS" display="Very high-cost STEM subjects" xr:uid="{00000000-0004-0000-0100-00000A000000}"/>
  </hyperlinks>
  <pageMargins left="0.70866141732283472" right="0.70866141732283472" top="0.74803149606299213" bottom="0.74803149606299213" header="0.31496062992125984" footer="0.31496062992125984"/>
  <pageSetup paperSize="9" scale="80" orientation="landscape" r:id="rId1"/>
  <headerFooter>
    <oddHeader>&amp;CPage &amp;P&amp;R&amp;F</oddHeader>
  </headerFooter>
  <ignoredErrors>
    <ignoredError sqref="A1 A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39997558519241921"/>
    <pageSetUpPr fitToPage="1"/>
  </sheetPr>
  <dimension ref="A1:W64"/>
  <sheetViews>
    <sheetView showGridLines="0" zoomScaleNormal="100" workbookViewId="0">
      <pane xSplit="3" ySplit="4" topLeftCell="D5" activePane="bottomRight" state="frozen"/>
      <selection sqref="A1:J1"/>
      <selection pane="topRight" sqref="A1:J1"/>
      <selection pane="bottomLeft" sqref="A1:J1"/>
      <selection pane="bottomRight" sqref="A1:J1"/>
    </sheetView>
  </sheetViews>
  <sheetFormatPr defaultColWidth="9.1796875" defaultRowHeight="13.5" x14ac:dyDescent="0.3"/>
  <cols>
    <col min="1" max="1" width="7.7265625" style="7" customWidth="1"/>
    <col min="2" max="2" width="10.1796875" style="7" customWidth="1"/>
    <col min="3" max="3" width="19.7265625" style="7" customWidth="1"/>
    <col min="4" max="4" width="13.453125" style="7" customWidth="1"/>
    <col min="5" max="5" width="15.26953125" style="7" customWidth="1"/>
    <col min="6" max="6" width="15.1796875" style="7" customWidth="1"/>
    <col min="7" max="7" width="14.453125" style="7" customWidth="1"/>
    <col min="8" max="8" width="15.81640625" style="7" customWidth="1"/>
    <col min="9" max="9" width="13.7265625" style="7" customWidth="1"/>
    <col min="10" max="10" width="11.453125" style="7" customWidth="1"/>
    <col min="11" max="11" width="13.453125" style="7" customWidth="1"/>
    <col min="12" max="12" width="9.26953125" style="7" customWidth="1"/>
    <col min="13" max="13" width="15.26953125" style="7" customWidth="1"/>
    <col min="14" max="14" width="14.26953125" style="7" customWidth="1"/>
    <col min="15" max="15" width="15.54296875" style="7" customWidth="1"/>
    <col min="16" max="16" width="15.36328125" style="7" customWidth="1"/>
    <col min="17" max="17" width="9.1796875" style="7"/>
    <col min="18" max="18" width="11.1796875" style="7" hidden="1" customWidth="1"/>
    <col min="19" max="19" width="8.26953125" style="7" hidden="1" customWidth="1"/>
    <col min="20" max="20" width="10.453125" style="7" hidden="1" customWidth="1"/>
    <col min="21" max="21" width="9.1796875" style="7" customWidth="1"/>
    <col min="22" max="23" width="9.1796875" style="7" hidden="1" customWidth="1"/>
    <col min="24" max="16384" width="9.1796875" style="7"/>
  </cols>
  <sheetData>
    <row r="1" spans="1:23" ht="15.75" customHeight="1" x14ac:dyDescent="0.3">
      <c r="A1" s="510" t="str">
        <f>'A Summary'!J8</f>
        <v xml:space="preserve">Sector summary of all providers </v>
      </c>
      <c r="B1" s="510"/>
      <c r="C1" s="510"/>
      <c r="D1" s="510"/>
      <c r="E1" s="510"/>
      <c r="F1" s="510"/>
      <c r="G1" s="510"/>
      <c r="H1" s="510"/>
      <c r="I1" s="510"/>
      <c r="J1" s="510"/>
      <c r="K1" s="61"/>
      <c r="M1" s="15"/>
      <c r="N1" s="15"/>
      <c r="O1" s="15"/>
      <c r="P1" s="61"/>
    </row>
    <row r="2" spans="1:23" ht="15" customHeight="1" x14ac:dyDescent="0.3">
      <c r="B2" s="8"/>
      <c r="C2" s="8"/>
      <c r="E2" s="15"/>
      <c r="F2" s="15"/>
      <c r="G2" s="15"/>
      <c r="H2" s="15"/>
      <c r="K2" s="61"/>
    </row>
    <row r="3" spans="1:23" ht="22.65" customHeight="1" thickBot="1" x14ac:dyDescent="0.35">
      <c r="A3" s="62" t="s">
        <v>234</v>
      </c>
      <c r="E3" s="15"/>
      <c r="F3" s="15"/>
      <c r="G3" s="15"/>
      <c r="H3" s="15"/>
      <c r="M3" s="511" t="s">
        <v>280</v>
      </c>
      <c r="N3" s="511"/>
      <c r="O3" s="511"/>
      <c r="P3" s="511"/>
    </row>
    <row r="4" spans="1:23" s="64" customFormat="1" ht="95.65" customHeight="1" x14ac:dyDescent="0.3">
      <c r="A4" s="383" t="s">
        <v>13</v>
      </c>
      <c r="B4" s="383" t="s">
        <v>0</v>
      </c>
      <c r="C4" s="128" t="s">
        <v>5</v>
      </c>
      <c r="D4" s="384" t="s">
        <v>265</v>
      </c>
      <c r="E4" s="381" t="s">
        <v>284</v>
      </c>
      <c r="F4" s="381" t="s">
        <v>266</v>
      </c>
      <c r="G4" s="381" t="s">
        <v>267</v>
      </c>
      <c r="H4" s="381" t="s">
        <v>229</v>
      </c>
      <c r="I4" s="381" t="s">
        <v>39</v>
      </c>
      <c r="J4" s="381" t="s">
        <v>233</v>
      </c>
      <c r="K4" s="381" t="s">
        <v>216</v>
      </c>
      <c r="M4" s="381" t="s">
        <v>268</v>
      </c>
      <c r="N4" s="381" t="s">
        <v>269</v>
      </c>
      <c r="O4" s="381" t="s">
        <v>285</v>
      </c>
      <c r="P4" s="381" t="s">
        <v>216</v>
      </c>
      <c r="R4" s="20" t="s">
        <v>29</v>
      </c>
      <c r="S4" s="20" t="s">
        <v>30</v>
      </c>
      <c r="T4" s="20" t="s">
        <v>31</v>
      </c>
    </row>
    <row r="5" spans="1:23" x14ac:dyDescent="0.3">
      <c r="A5" s="65" t="s">
        <v>7</v>
      </c>
      <c r="B5" s="65" t="s">
        <v>217</v>
      </c>
      <c r="C5" s="45" t="s">
        <v>6</v>
      </c>
      <c r="D5" s="66">
        <v>23651.15</v>
      </c>
      <c r="E5" s="403">
        <v>0</v>
      </c>
      <c r="F5" s="403">
        <v>0</v>
      </c>
      <c r="G5" s="67">
        <v>118</v>
      </c>
      <c r="H5" s="68">
        <v>-50.15</v>
      </c>
      <c r="I5" s="68">
        <v>127</v>
      </c>
      <c r="J5" s="68">
        <v>23846</v>
      </c>
      <c r="K5" s="69">
        <v>244421503</v>
      </c>
      <c r="M5" s="403">
        <v>0</v>
      </c>
      <c r="N5" s="68">
        <v>221</v>
      </c>
      <c r="O5" s="68">
        <v>339</v>
      </c>
      <c r="P5" s="69">
        <v>3474750</v>
      </c>
      <c r="R5" s="70" t="s">
        <v>7</v>
      </c>
      <c r="S5" s="70" t="s">
        <v>2</v>
      </c>
      <c r="T5" s="70" t="s">
        <v>6</v>
      </c>
      <c r="U5" s="71"/>
      <c r="W5" s="8"/>
    </row>
    <row r="6" spans="1:23" x14ac:dyDescent="0.3">
      <c r="A6" s="47"/>
      <c r="B6" s="47"/>
      <c r="C6" s="45" t="str">
        <f>$W$18</f>
        <v>PGT (Masters' loan)</v>
      </c>
      <c r="D6" s="72">
        <v>1128.82</v>
      </c>
      <c r="E6" s="404">
        <v>0</v>
      </c>
      <c r="F6" s="404">
        <v>0</v>
      </c>
      <c r="G6" s="404">
        <v>0</v>
      </c>
      <c r="H6" s="404">
        <v>0</v>
      </c>
      <c r="I6" s="73">
        <v>0</v>
      </c>
      <c r="J6" s="73">
        <v>1128.82</v>
      </c>
      <c r="K6" s="74">
        <v>11570406</v>
      </c>
      <c r="M6" s="404">
        <v>0</v>
      </c>
      <c r="N6" s="404">
        <v>0</v>
      </c>
      <c r="O6" s="404">
        <v>0</v>
      </c>
      <c r="P6" s="417">
        <v>0</v>
      </c>
      <c r="R6" s="70" t="s">
        <v>7</v>
      </c>
      <c r="S6" s="70" t="s">
        <v>2</v>
      </c>
      <c r="T6" s="70" t="s">
        <v>46</v>
      </c>
      <c r="U6" s="71"/>
    </row>
    <row r="7" spans="1:23" x14ac:dyDescent="0.3">
      <c r="A7" s="47"/>
      <c r="B7" s="75"/>
      <c r="C7" s="76" t="str">
        <f>$W$19</f>
        <v>PGT (Other)</v>
      </c>
      <c r="D7" s="77">
        <v>271.51</v>
      </c>
      <c r="E7" s="405">
        <v>0</v>
      </c>
      <c r="F7" s="405">
        <v>0</v>
      </c>
      <c r="G7" s="405">
        <v>0</v>
      </c>
      <c r="H7" s="408">
        <v>0</v>
      </c>
      <c r="I7" s="78">
        <v>0</v>
      </c>
      <c r="J7" s="78">
        <v>271.51</v>
      </c>
      <c r="K7" s="79">
        <v>2782978</v>
      </c>
      <c r="M7" s="405">
        <v>0</v>
      </c>
      <c r="N7" s="405">
        <v>0</v>
      </c>
      <c r="O7" s="405">
        <v>0</v>
      </c>
      <c r="P7" s="418">
        <v>0</v>
      </c>
      <c r="R7" s="70" t="s">
        <v>7</v>
      </c>
      <c r="S7" s="70" t="s">
        <v>2</v>
      </c>
      <c r="T7" s="70" t="s">
        <v>47</v>
      </c>
      <c r="U7" s="71"/>
    </row>
    <row r="8" spans="1:23" x14ac:dyDescent="0.3">
      <c r="A8" s="47"/>
      <c r="B8" s="80" t="s">
        <v>221</v>
      </c>
      <c r="C8" s="81" t="s">
        <v>6</v>
      </c>
      <c r="D8" s="82">
        <v>39.89</v>
      </c>
      <c r="E8" s="406">
        <v>0</v>
      </c>
      <c r="F8" s="406">
        <v>0</v>
      </c>
      <c r="G8" s="83">
        <v>0.4</v>
      </c>
      <c r="H8" s="409">
        <v>0</v>
      </c>
      <c r="I8" s="84">
        <v>-1.87</v>
      </c>
      <c r="J8" s="84">
        <v>38.42</v>
      </c>
      <c r="K8" s="85">
        <v>393807</v>
      </c>
      <c r="M8" s="406">
        <v>0</v>
      </c>
      <c r="N8" s="84">
        <v>4.6500000000000004</v>
      </c>
      <c r="O8" s="84">
        <v>5.05</v>
      </c>
      <c r="P8" s="85">
        <v>51763</v>
      </c>
      <c r="R8" s="70" t="s">
        <v>7</v>
      </c>
      <c r="S8" s="70" t="s">
        <v>1</v>
      </c>
      <c r="T8" s="70" t="s">
        <v>6</v>
      </c>
      <c r="U8" s="71"/>
    </row>
    <row r="9" spans="1:23" x14ac:dyDescent="0.3">
      <c r="A9" s="47"/>
      <c r="B9" s="47"/>
      <c r="C9" s="45" t="str">
        <f>$W$18</f>
        <v>PGT (Masters' loan)</v>
      </c>
      <c r="D9" s="72">
        <v>429.04</v>
      </c>
      <c r="E9" s="404">
        <v>0</v>
      </c>
      <c r="F9" s="404">
        <v>0</v>
      </c>
      <c r="G9" s="404">
        <v>0</v>
      </c>
      <c r="H9" s="410">
        <v>0</v>
      </c>
      <c r="I9" s="73">
        <v>0</v>
      </c>
      <c r="J9" s="73">
        <v>429.04</v>
      </c>
      <c r="K9" s="74">
        <v>4397666</v>
      </c>
      <c r="M9" s="404">
        <v>0</v>
      </c>
      <c r="N9" s="404">
        <v>0</v>
      </c>
      <c r="O9" s="404">
        <v>0</v>
      </c>
      <c r="P9" s="417">
        <v>0</v>
      </c>
      <c r="R9" s="70" t="s">
        <v>7</v>
      </c>
      <c r="S9" s="70" t="s">
        <v>1</v>
      </c>
      <c r="T9" s="70" t="s">
        <v>46</v>
      </c>
      <c r="U9" s="71"/>
    </row>
    <row r="10" spans="1:23" x14ac:dyDescent="0.3">
      <c r="A10" s="86"/>
      <c r="B10" s="86"/>
      <c r="C10" s="87" t="str">
        <f>$W$19</f>
        <v>PGT (Other)</v>
      </c>
      <c r="D10" s="88">
        <v>247.42</v>
      </c>
      <c r="E10" s="407">
        <v>0</v>
      </c>
      <c r="F10" s="407">
        <v>0</v>
      </c>
      <c r="G10" s="407">
        <v>0</v>
      </c>
      <c r="H10" s="411">
        <v>0</v>
      </c>
      <c r="I10" s="89">
        <v>0</v>
      </c>
      <c r="J10" s="89">
        <v>247.42</v>
      </c>
      <c r="K10" s="90">
        <v>2536057</v>
      </c>
      <c r="M10" s="407">
        <v>0</v>
      </c>
      <c r="N10" s="407">
        <v>0</v>
      </c>
      <c r="O10" s="407">
        <v>0</v>
      </c>
      <c r="P10" s="419">
        <v>0</v>
      </c>
      <c r="R10" s="70" t="s">
        <v>7</v>
      </c>
      <c r="S10" s="70" t="s">
        <v>1</v>
      </c>
      <c r="T10" s="70" t="s">
        <v>47</v>
      </c>
      <c r="U10" s="71"/>
    </row>
    <row r="11" spans="1:23" x14ac:dyDescent="0.3">
      <c r="A11" s="65" t="s">
        <v>8</v>
      </c>
      <c r="B11" s="65" t="s">
        <v>217</v>
      </c>
      <c r="C11" s="45" t="s">
        <v>6</v>
      </c>
      <c r="D11" s="91">
        <v>207606.81</v>
      </c>
      <c r="E11" s="92">
        <v>5992</v>
      </c>
      <c r="F11" s="412">
        <v>0</v>
      </c>
      <c r="G11" s="412">
        <v>0</v>
      </c>
      <c r="H11" s="92">
        <v>-18.777999999999999</v>
      </c>
      <c r="I11" s="92">
        <v>1237.4000000000001</v>
      </c>
      <c r="J11" s="92">
        <v>214817.432</v>
      </c>
      <c r="K11" s="93">
        <v>330281836</v>
      </c>
      <c r="M11" s="92">
        <v>6767</v>
      </c>
      <c r="N11" s="92">
        <v>7926</v>
      </c>
      <c r="O11" s="92">
        <v>20685</v>
      </c>
      <c r="P11" s="93">
        <v>31803201</v>
      </c>
      <c r="R11" s="70" t="s">
        <v>8</v>
      </c>
      <c r="S11" s="70" t="s">
        <v>2</v>
      </c>
      <c r="T11" s="70" t="s">
        <v>6</v>
      </c>
      <c r="U11" s="71"/>
    </row>
    <row r="12" spans="1:23" x14ac:dyDescent="0.3">
      <c r="A12" s="47"/>
      <c r="B12" s="47"/>
      <c r="C12" s="45" t="str">
        <f>$W$17</f>
        <v>PGT (UG fee)</v>
      </c>
      <c r="D12" s="72">
        <v>1278</v>
      </c>
      <c r="E12" s="404">
        <v>0</v>
      </c>
      <c r="F12" s="73">
        <v>917</v>
      </c>
      <c r="G12" s="404">
        <v>0</v>
      </c>
      <c r="H12" s="410">
        <v>0</v>
      </c>
      <c r="I12" s="73">
        <v>0</v>
      </c>
      <c r="J12" s="73">
        <v>2195</v>
      </c>
      <c r="K12" s="74">
        <v>3374822</v>
      </c>
      <c r="M12" s="404">
        <v>0</v>
      </c>
      <c r="N12" s="73">
        <v>1134</v>
      </c>
      <c r="O12" s="73">
        <v>2051</v>
      </c>
      <c r="P12" s="74">
        <v>3153421</v>
      </c>
      <c r="R12" s="70" t="s">
        <v>8</v>
      </c>
      <c r="S12" s="70" t="s">
        <v>2</v>
      </c>
      <c r="T12" s="70" t="s">
        <v>33</v>
      </c>
    </row>
    <row r="13" spans="1:23" x14ac:dyDescent="0.3">
      <c r="A13" s="47"/>
      <c r="B13" s="47"/>
      <c r="C13" s="45" t="str">
        <f>$W$18</f>
        <v>PGT (Masters' loan)</v>
      </c>
      <c r="D13" s="72">
        <v>9705.6299999999992</v>
      </c>
      <c r="E13" s="404">
        <v>0</v>
      </c>
      <c r="F13" s="404">
        <v>0</v>
      </c>
      <c r="G13" s="404">
        <v>0</v>
      </c>
      <c r="H13" s="410">
        <v>0</v>
      </c>
      <c r="I13" s="73">
        <v>0</v>
      </c>
      <c r="J13" s="73">
        <v>9705.6299999999992</v>
      </c>
      <c r="K13" s="74">
        <v>14922423</v>
      </c>
      <c r="M13" s="404">
        <v>0</v>
      </c>
      <c r="N13" s="404">
        <v>0</v>
      </c>
      <c r="O13" s="404">
        <v>0</v>
      </c>
      <c r="P13" s="417">
        <v>0</v>
      </c>
      <c r="R13" s="70" t="s">
        <v>8</v>
      </c>
      <c r="S13" s="70" t="s">
        <v>2</v>
      </c>
      <c r="T13" s="70" t="s">
        <v>46</v>
      </c>
    </row>
    <row r="14" spans="1:23" x14ac:dyDescent="0.3">
      <c r="A14" s="47"/>
      <c r="B14" s="75"/>
      <c r="C14" s="76" t="str">
        <f>$W$19</f>
        <v>PGT (Other)</v>
      </c>
      <c r="D14" s="77">
        <v>568.36</v>
      </c>
      <c r="E14" s="405">
        <v>0</v>
      </c>
      <c r="F14" s="405">
        <v>0</v>
      </c>
      <c r="G14" s="405">
        <v>0</v>
      </c>
      <c r="H14" s="408">
        <v>0</v>
      </c>
      <c r="I14" s="78">
        <v>2</v>
      </c>
      <c r="J14" s="78">
        <v>570.36</v>
      </c>
      <c r="K14" s="79">
        <v>876939</v>
      </c>
      <c r="M14" s="405">
        <v>0</v>
      </c>
      <c r="N14" s="405">
        <v>0</v>
      </c>
      <c r="O14" s="405">
        <v>0</v>
      </c>
      <c r="P14" s="418">
        <v>0</v>
      </c>
      <c r="R14" s="70" t="s">
        <v>8</v>
      </c>
      <c r="S14" s="70" t="s">
        <v>2</v>
      </c>
      <c r="T14" s="70" t="s">
        <v>47</v>
      </c>
    </row>
    <row r="15" spans="1:23" x14ac:dyDescent="0.3">
      <c r="A15" s="47"/>
      <c r="B15" s="80" t="s">
        <v>221</v>
      </c>
      <c r="C15" s="81" t="s">
        <v>6</v>
      </c>
      <c r="D15" s="82">
        <v>16244.3</v>
      </c>
      <c r="E15" s="84">
        <v>118.25</v>
      </c>
      <c r="F15" s="406">
        <v>0</v>
      </c>
      <c r="G15" s="406">
        <v>0</v>
      </c>
      <c r="H15" s="409">
        <v>0</v>
      </c>
      <c r="I15" s="84">
        <v>2.2200000000000002</v>
      </c>
      <c r="J15" s="84">
        <v>16364.77</v>
      </c>
      <c r="K15" s="85">
        <v>25160854</v>
      </c>
      <c r="M15" s="84">
        <v>85.51</v>
      </c>
      <c r="N15" s="84">
        <v>144.41999999999999</v>
      </c>
      <c r="O15" s="84">
        <v>348.18</v>
      </c>
      <c r="P15" s="85">
        <v>535327</v>
      </c>
      <c r="R15" s="70" t="s">
        <v>8</v>
      </c>
      <c r="S15" s="70" t="s">
        <v>1</v>
      </c>
      <c r="T15" s="70" t="s">
        <v>6</v>
      </c>
    </row>
    <row r="16" spans="1:23" x14ac:dyDescent="0.3">
      <c r="A16" s="47"/>
      <c r="B16" s="47"/>
      <c r="C16" s="45" t="str">
        <f>$W$17</f>
        <v>PGT (UG fee)</v>
      </c>
      <c r="D16" s="72">
        <v>4.45</v>
      </c>
      <c r="E16" s="404">
        <v>0</v>
      </c>
      <c r="F16" s="73">
        <v>7.09</v>
      </c>
      <c r="G16" s="404">
        <v>0</v>
      </c>
      <c r="H16" s="410">
        <v>0</v>
      </c>
      <c r="I16" s="73">
        <v>0</v>
      </c>
      <c r="J16" s="73">
        <v>11.54</v>
      </c>
      <c r="K16" s="74">
        <v>17741</v>
      </c>
      <c r="M16" s="404">
        <v>0</v>
      </c>
      <c r="N16" s="73">
        <v>2.33</v>
      </c>
      <c r="O16" s="73">
        <v>9.42</v>
      </c>
      <c r="P16" s="74">
        <v>14482</v>
      </c>
      <c r="R16" s="70" t="s">
        <v>8</v>
      </c>
      <c r="S16" s="70" t="s">
        <v>1</v>
      </c>
      <c r="T16" s="70" t="s">
        <v>33</v>
      </c>
      <c r="W16" s="8" t="s">
        <v>70</v>
      </c>
    </row>
    <row r="17" spans="1:23" x14ac:dyDescent="0.3">
      <c r="A17" s="47"/>
      <c r="B17" s="47"/>
      <c r="C17" s="45" t="str">
        <f>$W$18</f>
        <v>PGT (Masters' loan)</v>
      </c>
      <c r="D17" s="72">
        <v>2460.83</v>
      </c>
      <c r="E17" s="404">
        <v>0</v>
      </c>
      <c r="F17" s="404">
        <v>0</v>
      </c>
      <c r="G17" s="404">
        <v>0</v>
      </c>
      <c r="H17" s="410">
        <v>0</v>
      </c>
      <c r="I17" s="73">
        <v>2.59</v>
      </c>
      <c r="J17" s="73">
        <v>2463.42</v>
      </c>
      <c r="K17" s="74">
        <v>3787514</v>
      </c>
      <c r="M17" s="404">
        <v>0</v>
      </c>
      <c r="N17" s="404">
        <v>0</v>
      </c>
      <c r="O17" s="404">
        <v>0</v>
      </c>
      <c r="P17" s="417">
        <v>0</v>
      </c>
      <c r="R17" s="70" t="s">
        <v>8</v>
      </c>
      <c r="S17" s="70" t="s">
        <v>1</v>
      </c>
      <c r="T17" s="70" t="s">
        <v>46</v>
      </c>
      <c r="W17" s="7" t="s">
        <v>245</v>
      </c>
    </row>
    <row r="18" spans="1:23" x14ac:dyDescent="0.3">
      <c r="A18" s="86"/>
      <c r="B18" s="86"/>
      <c r="C18" s="87" t="str">
        <f>$W$19</f>
        <v>PGT (Other)</v>
      </c>
      <c r="D18" s="88">
        <v>1831.39</v>
      </c>
      <c r="E18" s="407">
        <v>0</v>
      </c>
      <c r="F18" s="407">
        <v>0</v>
      </c>
      <c r="G18" s="407">
        <v>0</v>
      </c>
      <c r="H18" s="411">
        <v>0</v>
      </c>
      <c r="I18" s="89">
        <v>0.21</v>
      </c>
      <c r="J18" s="89">
        <v>1831.6</v>
      </c>
      <c r="K18" s="90">
        <v>2816089</v>
      </c>
      <c r="M18" s="407">
        <v>0</v>
      </c>
      <c r="N18" s="407">
        <v>0</v>
      </c>
      <c r="O18" s="407">
        <v>0</v>
      </c>
      <c r="P18" s="419">
        <v>0</v>
      </c>
      <c r="R18" s="70" t="s">
        <v>8</v>
      </c>
      <c r="S18" s="70" t="s">
        <v>1</v>
      </c>
      <c r="T18" s="70" t="s">
        <v>47</v>
      </c>
      <c r="W18" s="7" t="s">
        <v>274</v>
      </c>
    </row>
    <row r="19" spans="1:23" x14ac:dyDescent="0.3">
      <c r="A19" s="65" t="s">
        <v>26</v>
      </c>
      <c r="B19" s="65" t="s">
        <v>217</v>
      </c>
      <c r="C19" s="45" t="s">
        <v>6</v>
      </c>
      <c r="D19" s="91">
        <v>216945.02</v>
      </c>
      <c r="E19" s="92">
        <v>14596</v>
      </c>
      <c r="F19" s="412">
        <v>0</v>
      </c>
      <c r="G19" s="412">
        <v>0</v>
      </c>
      <c r="H19" s="415">
        <v>0</v>
      </c>
      <c r="I19" s="92">
        <v>-34.409999999999997</v>
      </c>
      <c r="J19" s="92">
        <v>231506.61</v>
      </c>
      <c r="K19" s="93">
        <v>59323592</v>
      </c>
      <c r="L19" s="15"/>
      <c r="M19" s="92">
        <v>13520</v>
      </c>
      <c r="N19" s="92">
        <v>16427</v>
      </c>
      <c r="O19" s="92">
        <v>44543</v>
      </c>
      <c r="P19" s="93">
        <v>11414154</v>
      </c>
      <c r="Q19" s="15"/>
      <c r="R19" s="70" t="s">
        <v>26</v>
      </c>
      <c r="S19" s="70" t="s">
        <v>2</v>
      </c>
      <c r="T19" s="70" t="s">
        <v>6</v>
      </c>
      <c r="W19" s="7" t="s">
        <v>275</v>
      </c>
    </row>
    <row r="20" spans="1:23" x14ac:dyDescent="0.3">
      <c r="A20" s="47"/>
      <c r="B20" s="47"/>
      <c r="C20" s="45" t="str">
        <f>$W$17</f>
        <v>PGT (UG fee)</v>
      </c>
      <c r="D20" s="72">
        <v>1104</v>
      </c>
      <c r="E20" s="404">
        <v>0</v>
      </c>
      <c r="F20" s="73">
        <v>1239</v>
      </c>
      <c r="G20" s="404">
        <v>0</v>
      </c>
      <c r="H20" s="410">
        <v>0</v>
      </c>
      <c r="I20" s="73">
        <v>0</v>
      </c>
      <c r="J20" s="73">
        <v>2343</v>
      </c>
      <c r="K20" s="74">
        <v>600397</v>
      </c>
      <c r="L20" s="15"/>
      <c r="M20" s="404">
        <v>0</v>
      </c>
      <c r="N20" s="73">
        <v>1092</v>
      </c>
      <c r="O20" s="73">
        <v>2331</v>
      </c>
      <c r="P20" s="74">
        <v>597322</v>
      </c>
      <c r="Q20" s="15"/>
      <c r="R20" s="70" t="s">
        <v>26</v>
      </c>
      <c r="S20" s="70" t="s">
        <v>2</v>
      </c>
      <c r="T20" s="70" t="s">
        <v>33</v>
      </c>
    </row>
    <row r="21" spans="1:23" x14ac:dyDescent="0.3">
      <c r="A21" s="47"/>
      <c r="B21" s="47"/>
      <c r="C21" s="45" t="str">
        <f>$W$18</f>
        <v>PGT (Masters' loan)</v>
      </c>
      <c r="D21" s="72">
        <v>10897.99</v>
      </c>
      <c r="E21" s="404">
        <v>0</v>
      </c>
      <c r="F21" s="404">
        <v>0</v>
      </c>
      <c r="G21" s="404">
        <v>0</v>
      </c>
      <c r="H21" s="410">
        <v>0</v>
      </c>
      <c r="I21" s="73">
        <v>0</v>
      </c>
      <c r="J21" s="73">
        <v>10897.99</v>
      </c>
      <c r="K21" s="74">
        <v>2792621</v>
      </c>
      <c r="L21" s="15"/>
      <c r="M21" s="404">
        <v>0</v>
      </c>
      <c r="N21" s="404">
        <v>0</v>
      </c>
      <c r="O21" s="404">
        <v>0</v>
      </c>
      <c r="P21" s="417">
        <v>0</v>
      </c>
      <c r="Q21" s="15"/>
      <c r="R21" s="70" t="s">
        <v>26</v>
      </c>
      <c r="S21" s="70" t="s">
        <v>2</v>
      </c>
      <c r="T21" s="70" t="s">
        <v>46</v>
      </c>
    </row>
    <row r="22" spans="1:23" x14ac:dyDescent="0.3">
      <c r="A22" s="47"/>
      <c r="B22" s="75"/>
      <c r="C22" s="76" t="str">
        <f>$W$19</f>
        <v>PGT (Other)</v>
      </c>
      <c r="D22" s="77">
        <v>270.79000000000002</v>
      </c>
      <c r="E22" s="405">
        <v>0</v>
      </c>
      <c r="F22" s="405">
        <v>0</v>
      </c>
      <c r="G22" s="405">
        <v>0</v>
      </c>
      <c r="H22" s="408">
        <v>0</v>
      </c>
      <c r="I22" s="78">
        <v>0</v>
      </c>
      <c r="J22" s="78">
        <v>270.79000000000002</v>
      </c>
      <c r="K22" s="79">
        <v>69390</v>
      </c>
      <c r="L22" s="15"/>
      <c r="M22" s="405">
        <v>0</v>
      </c>
      <c r="N22" s="405">
        <v>0</v>
      </c>
      <c r="O22" s="405">
        <v>0</v>
      </c>
      <c r="P22" s="418">
        <v>0</v>
      </c>
      <c r="Q22" s="15"/>
      <c r="R22" s="70" t="s">
        <v>26</v>
      </c>
      <c r="S22" s="70" t="s">
        <v>2</v>
      </c>
      <c r="T22" s="70" t="s">
        <v>47</v>
      </c>
    </row>
    <row r="23" spans="1:23" x14ac:dyDescent="0.3">
      <c r="A23" s="47"/>
      <c r="B23" s="80" t="s">
        <v>221</v>
      </c>
      <c r="C23" s="81" t="s">
        <v>6</v>
      </c>
      <c r="D23" s="82">
        <v>6339.86</v>
      </c>
      <c r="E23" s="84">
        <v>220.5</v>
      </c>
      <c r="F23" s="406">
        <v>0</v>
      </c>
      <c r="G23" s="406">
        <v>0</v>
      </c>
      <c r="H23" s="409">
        <v>0</v>
      </c>
      <c r="I23" s="84">
        <v>0</v>
      </c>
      <c r="J23" s="84">
        <v>6560.36</v>
      </c>
      <c r="K23" s="85">
        <v>1681100</v>
      </c>
      <c r="L23" s="15"/>
      <c r="M23" s="84">
        <v>167.64</v>
      </c>
      <c r="N23" s="84">
        <v>186.26</v>
      </c>
      <c r="O23" s="84">
        <v>574.4</v>
      </c>
      <c r="P23" s="85">
        <v>147191</v>
      </c>
      <c r="Q23" s="15"/>
      <c r="R23" s="70" t="s">
        <v>26</v>
      </c>
      <c r="S23" s="70" t="s">
        <v>1</v>
      </c>
      <c r="T23" s="70" t="s">
        <v>6</v>
      </c>
    </row>
    <row r="24" spans="1:23" x14ac:dyDescent="0.3">
      <c r="A24" s="47"/>
      <c r="B24" s="47"/>
      <c r="C24" s="45" t="str">
        <f>$W$17</f>
        <v>PGT (UG fee)</v>
      </c>
      <c r="D24" s="72">
        <v>1.17</v>
      </c>
      <c r="E24" s="404">
        <v>0</v>
      </c>
      <c r="F24" s="73">
        <v>8.5299999999999994</v>
      </c>
      <c r="G24" s="404">
        <v>0</v>
      </c>
      <c r="H24" s="410">
        <v>0</v>
      </c>
      <c r="I24" s="73">
        <v>0</v>
      </c>
      <c r="J24" s="73">
        <v>9.6999999999999993</v>
      </c>
      <c r="K24" s="74">
        <v>2487</v>
      </c>
      <c r="L24" s="15"/>
      <c r="M24" s="404">
        <v>0</v>
      </c>
      <c r="N24" s="73">
        <v>0.65</v>
      </c>
      <c r="O24" s="73">
        <v>9.18</v>
      </c>
      <c r="P24" s="74">
        <v>2353</v>
      </c>
      <c r="Q24" s="15"/>
      <c r="R24" s="70" t="s">
        <v>26</v>
      </c>
      <c r="S24" s="70" t="s">
        <v>1</v>
      </c>
      <c r="T24" s="70" t="s">
        <v>33</v>
      </c>
    </row>
    <row r="25" spans="1:23" x14ac:dyDescent="0.3">
      <c r="A25" s="47"/>
      <c r="B25" s="47"/>
      <c r="C25" s="45" t="str">
        <f>$W$18</f>
        <v>PGT (Masters' loan)</v>
      </c>
      <c r="D25" s="72">
        <v>2822.91</v>
      </c>
      <c r="E25" s="404">
        <v>0</v>
      </c>
      <c r="F25" s="404">
        <v>0</v>
      </c>
      <c r="G25" s="404">
        <v>0</v>
      </c>
      <c r="H25" s="410">
        <v>0</v>
      </c>
      <c r="I25" s="73">
        <v>0</v>
      </c>
      <c r="J25" s="73">
        <v>2822.91</v>
      </c>
      <c r="K25" s="74">
        <v>723377</v>
      </c>
      <c r="L25" s="15"/>
      <c r="M25" s="404">
        <v>0</v>
      </c>
      <c r="N25" s="404">
        <v>0</v>
      </c>
      <c r="O25" s="404">
        <v>0</v>
      </c>
      <c r="P25" s="417">
        <v>0</v>
      </c>
      <c r="Q25" s="15"/>
      <c r="R25" s="70" t="s">
        <v>26</v>
      </c>
      <c r="S25" s="70" t="s">
        <v>1</v>
      </c>
      <c r="T25" s="70" t="s">
        <v>46</v>
      </c>
    </row>
    <row r="26" spans="1:23" x14ac:dyDescent="0.3">
      <c r="A26" s="86"/>
      <c r="B26" s="86"/>
      <c r="C26" s="87" t="str">
        <f>$W$19</f>
        <v>PGT (Other)</v>
      </c>
      <c r="D26" s="88">
        <v>292.77</v>
      </c>
      <c r="E26" s="407">
        <v>0</v>
      </c>
      <c r="F26" s="407">
        <v>0</v>
      </c>
      <c r="G26" s="407">
        <v>0</v>
      </c>
      <c r="H26" s="411">
        <v>0</v>
      </c>
      <c r="I26" s="89">
        <v>0</v>
      </c>
      <c r="J26" s="89">
        <v>292.77</v>
      </c>
      <c r="K26" s="90">
        <v>75025</v>
      </c>
      <c r="L26" s="15"/>
      <c r="M26" s="407">
        <v>0</v>
      </c>
      <c r="N26" s="407">
        <v>0</v>
      </c>
      <c r="O26" s="407">
        <v>0</v>
      </c>
      <c r="P26" s="419">
        <v>0</v>
      </c>
      <c r="Q26" s="15"/>
      <c r="R26" s="70" t="s">
        <v>26</v>
      </c>
      <c r="S26" s="70" t="s">
        <v>1</v>
      </c>
      <c r="T26" s="70" t="s">
        <v>47</v>
      </c>
    </row>
    <row r="27" spans="1:23" x14ac:dyDescent="0.3">
      <c r="A27" s="65" t="s">
        <v>27</v>
      </c>
      <c r="B27" s="65" t="s">
        <v>217</v>
      </c>
      <c r="C27" s="45" t="s">
        <v>6</v>
      </c>
      <c r="D27" s="91">
        <v>191046.81</v>
      </c>
      <c r="E27" s="412">
        <v>0</v>
      </c>
      <c r="F27" s="412">
        <v>0</v>
      </c>
      <c r="G27" s="412">
        <v>0</v>
      </c>
      <c r="H27" s="415">
        <v>0</v>
      </c>
      <c r="I27" s="415">
        <v>0</v>
      </c>
      <c r="J27" s="415">
        <v>0</v>
      </c>
      <c r="K27" s="415">
        <v>0</v>
      </c>
      <c r="L27" s="15"/>
      <c r="M27" s="412">
        <v>0</v>
      </c>
      <c r="N27" s="412">
        <v>0</v>
      </c>
      <c r="O27" s="412">
        <v>0</v>
      </c>
      <c r="P27" s="415">
        <v>0</v>
      </c>
      <c r="Q27" s="15"/>
      <c r="R27" s="70" t="s">
        <v>27</v>
      </c>
      <c r="S27" s="70" t="s">
        <v>2</v>
      </c>
      <c r="T27" s="70" t="s">
        <v>6</v>
      </c>
    </row>
    <row r="28" spans="1:23" x14ac:dyDescent="0.3">
      <c r="A28" s="47"/>
      <c r="B28" s="47"/>
      <c r="C28" s="45" t="str">
        <f>$W$17</f>
        <v>PGT (UG fee)</v>
      </c>
      <c r="D28" s="72">
        <v>2809.24</v>
      </c>
      <c r="E28" s="404">
        <v>0</v>
      </c>
      <c r="F28" s="404">
        <v>0</v>
      </c>
      <c r="G28" s="404">
        <v>0</v>
      </c>
      <c r="H28" s="410">
        <v>0</v>
      </c>
      <c r="I28" s="410">
        <v>0</v>
      </c>
      <c r="J28" s="410">
        <v>0</v>
      </c>
      <c r="K28" s="410">
        <v>0</v>
      </c>
      <c r="L28" s="15"/>
      <c r="M28" s="404">
        <v>0</v>
      </c>
      <c r="N28" s="404">
        <v>0</v>
      </c>
      <c r="O28" s="404">
        <v>0</v>
      </c>
      <c r="P28" s="410">
        <v>0</v>
      </c>
      <c r="Q28" s="15"/>
      <c r="R28" s="70" t="s">
        <v>27</v>
      </c>
      <c r="S28" s="70" t="s">
        <v>2</v>
      </c>
      <c r="T28" s="70" t="s">
        <v>33</v>
      </c>
    </row>
    <row r="29" spans="1:23" x14ac:dyDescent="0.3">
      <c r="A29" s="47"/>
      <c r="B29" s="47"/>
      <c r="C29" s="45" t="str">
        <f>$W$18</f>
        <v>PGT (Masters' loan)</v>
      </c>
      <c r="D29" s="72">
        <v>12343.43</v>
      </c>
      <c r="E29" s="404">
        <v>0</v>
      </c>
      <c r="F29" s="404">
        <v>0</v>
      </c>
      <c r="G29" s="404">
        <v>0</v>
      </c>
      <c r="H29" s="410">
        <v>0</v>
      </c>
      <c r="I29" s="410">
        <v>0</v>
      </c>
      <c r="J29" s="410">
        <v>0</v>
      </c>
      <c r="K29" s="410">
        <v>0</v>
      </c>
      <c r="L29" s="15"/>
      <c r="M29" s="404">
        <v>0</v>
      </c>
      <c r="N29" s="404">
        <v>0</v>
      </c>
      <c r="O29" s="404">
        <v>0</v>
      </c>
      <c r="P29" s="410">
        <v>0</v>
      </c>
      <c r="Q29" s="15"/>
      <c r="R29" s="70" t="s">
        <v>27</v>
      </c>
      <c r="S29" s="70" t="s">
        <v>2</v>
      </c>
      <c r="T29" s="70" t="s">
        <v>46</v>
      </c>
    </row>
    <row r="30" spans="1:23" x14ac:dyDescent="0.3">
      <c r="A30" s="47"/>
      <c r="B30" s="75"/>
      <c r="C30" s="76" t="str">
        <f>$W$19</f>
        <v>PGT (Other)</v>
      </c>
      <c r="D30" s="77">
        <v>1242.8699999999999</v>
      </c>
      <c r="E30" s="405">
        <v>0</v>
      </c>
      <c r="F30" s="405">
        <v>0</v>
      </c>
      <c r="G30" s="405">
        <v>0</v>
      </c>
      <c r="H30" s="408">
        <v>0</v>
      </c>
      <c r="I30" s="408">
        <v>0</v>
      </c>
      <c r="J30" s="408">
        <v>0</v>
      </c>
      <c r="K30" s="408">
        <v>0</v>
      </c>
      <c r="L30" s="15"/>
      <c r="M30" s="405">
        <v>0</v>
      </c>
      <c r="N30" s="405">
        <v>0</v>
      </c>
      <c r="O30" s="405">
        <v>0</v>
      </c>
      <c r="P30" s="408">
        <v>0</v>
      </c>
      <c r="Q30" s="15"/>
      <c r="R30" s="70" t="s">
        <v>27</v>
      </c>
      <c r="S30" s="70" t="s">
        <v>2</v>
      </c>
      <c r="T30" s="70" t="s">
        <v>47</v>
      </c>
    </row>
    <row r="31" spans="1:23" ht="13.65" customHeight="1" x14ac:dyDescent="0.3">
      <c r="A31" s="47"/>
      <c r="B31" s="508" t="s">
        <v>114</v>
      </c>
      <c r="C31" s="81" t="s">
        <v>6</v>
      </c>
      <c r="D31" s="82">
        <v>12622.5</v>
      </c>
      <c r="E31" s="406">
        <v>0</v>
      </c>
      <c r="F31" s="406">
        <v>0</v>
      </c>
      <c r="G31" s="406">
        <v>0</v>
      </c>
      <c r="H31" s="409">
        <v>0</v>
      </c>
      <c r="I31" s="409">
        <v>0</v>
      </c>
      <c r="J31" s="409">
        <v>0</v>
      </c>
      <c r="K31" s="409">
        <v>0</v>
      </c>
      <c r="L31" s="15"/>
      <c r="M31" s="406">
        <v>0</v>
      </c>
      <c r="N31" s="406">
        <v>0</v>
      </c>
      <c r="O31" s="406">
        <v>0</v>
      </c>
      <c r="P31" s="420">
        <v>0</v>
      </c>
      <c r="Q31" s="15"/>
      <c r="R31" s="70" t="s">
        <v>27</v>
      </c>
      <c r="S31" s="70" t="s">
        <v>14</v>
      </c>
      <c r="T31" s="70" t="s">
        <v>6</v>
      </c>
    </row>
    <row r="32" spans="1:23" x14ac:dyDescent="0.3">
      <c r="A32" s="47"/>
      <c r="B32" s="509"/>
      <c r="C32" s="45" t="str">
        <f>$W$17</f>
        <v>PGT (UG fee)</v>
      </c>
      <c r="D32" s="72">
        <v>14</v>
      </c>
      <c r="E32" s="404">
        <v>0</v>
      </c>
      <c r="F32" s="404">
        <v>0</v>
      </c>
      <c r="G32" s="404">
        <v>0</v>
      </c>
      <c r="H32" s="410">
        <v>0</v>
      </c>
      <c r="I32" s="410">
        <v>0</v>
      </c>
      <c r="J32" s="410">
        <v>0</v>
      </c>
      <c r="K32" s="410">
        <v>0</v>
      </c>
      <c r="L32" s="15"/>
      <c r="M32" s="404">
        <v>0</v>
      </c>
      <c r="N32" s="404">
        <v>0</v>
      </c>
      <c r="O32" s="404">
        <v>0</v>
      </c>
      <c r="P32" s="410">
        <v>0</v>
      </c>
      <c r="Q32" s="15"/>
      <c r="R32" s="70" t="s">
        <v>27</v>
      </c>
      <c r="S32" s="70" t="s">
        <v>14</v>
      </c>
      <c r="T32" s="70" t="s">
        <v>33</v>
      </c>
    </row>
    <row r="33" spans="1:20" x14ac:dyDescent="0.3">
      <c r="A33" s="47"/>
      <c r="B33" s="94"/>
      <c r="C33" s="45" t="str">
        <f>$W$18</f>
        <v>PGT (Masters' loan)</v>
      </c>
      <c r="D33" s="72">
        <v>17.5</v>
      </c>
      <c r="E33" s="404">
        <v>0</v>
      </c>
      <c r="F33" s="404">
        <v>0</v>
      </c>
      <c r="G33" s="404">
        <v>0</v>
      </c>
      <c r="H33" s="410">
        <v>0</v>
      </c>
      <c r="I33" s="410">
        <v>0</v>
      </c>
      <c r="J33" s="410">
        <v>0</v>
      </c>
      <c r="K33" s="410">
        <v>0</v>
      </c>
      <c r="L33" s="15"/>
      <c r="M33" s="404">
        <v>0</v>
      </c>
      <c r="N33" s="404">
        <v>0</v>
      </c>
      <c r="O33" s="404">
        <v>0</v>
      </c>
      <c r="P33" s="410">
        <v>0</v>
      </c>
      <c r="Q33" s="15"/>
      <c r="R33" s="70" t="s">
        <v>27</v>
      </c>
      <c r="S33" s="70" t="s">
        <v>14</v>
      </c>
      <c r="T33" s="70" t="s">
        <v>46</v>
      </c>
    </row>
    <row r="34" spans="1:20" x14ac:dyDescent="0.3">
      <c r="A34" s="47"/>
      <c r="B34" s="75"/>
      <c r="C34" s="76" t="str">
        <f>$W$19</f>
        <v>PGT (Other)</v>
      </c>
      <c r="D34" s="77">
        <v>0</v>
      </c>
      <c r="E34" s="405">
        <v>0</v>
      </c>
      <c r="F34" s="405">
        <v>0</v>
      </c>
      <c r="G34" s="405">
        <v>0</v>
      </c>
      <c r="H34" s="408">
        <v>0</v>
      </c>
      <c r="I34" s="408">
        <v>0</v>
      </c>
      <c r="J34" s="408">
        <v>0</v>
      </c>
      <c r="K34" s="408">
        <v>0</v>
      </c>
      <c r="L34" s="15"/>
      <c r="M34" s="405">
        <v>0</v>
      </c>
      <c r="N34" s="405">
        <v>0</v>
      </c>
      <c r="O34" s="405">
        <v>0</v>
      </c>
      <c r="P34" s="408">
        <v>0</v>
      </c>
      <c r="Q34" s="15"/>
      <c r="R34" s="70" t="s">
        <v>27</v>
      </c>
      <c r="S34" s="70" t="s">
        <v>14</v>
      </c>
      <c r="T34" s="70" t="s">
        <v>47</v>
      </c>
    </row>
    <row r="35" spans="1:20" x14ac:dyDescent="0.3">
      <c r="A35" s="47"/>
      <c r="B35" s="80" t="s">
        <v>221</v>
      </c>
      <c r="C35" s="81" t="s">
        <v>6</v>
      </c>
      <c r="D35" s="82">
        <v>21346.05</v>
      </c>
      <c r="E35" s="406">
        <v>0</v>
      </c>
      <c r="F35" s="406">
        <v>0</v>
      </c>
      <c r="G35" s="406">
        <v>0</v>
      </c>
      <c r="H35" s="409">
        <v>0</v>
      </c>
      <c r="I35" s="409">
        <v>0</v>
      </c>
      <c r="J35" s="409">
        <v>0</v>
      </c>
      <c r="K35" s="409">
        <v>0</v>
      </c>
      <c r="L35" s="15"/>
      <c r="M35" s="406">
        <v>0</v>
      </c>
      <c r="N35" s="406">
        <v>0</v>
      </c>
      <c r="O35" s="406">
        <v>0</v>
      </c>
      <c r="P35" s="409">
        <v>0</v>
      </c>
      <c r="Q35" s="15"/>
      <c r="R35" s="70" t="s">
        <v>27</v>
      </c>
      <c r="S35" s="70" t="s">
        <v>1</v>
      </c>
      <c r="T35" s="70" t="s">
        <v>6</v>
      </c>
    </row>
    <row r="36" spans="1:20" x14ac:dyDescent="0.3">
      <c r="A36" s="47"/>
      <c r="B36" s="47"/>
      <c r="C36" s="45" t="str">
        <f>$W$17</f>
        <v>PGT (UG fee)</v>
      </c>
      <c r="D36" s="72">
        <v>658.2</v>
      </c>
      <c r="E36" s="404">
        <v>0</v>
      </c>
      <c r="F36" s="404">
        <v>0</v>
      </c>
      <c r="G36" s="404">
        <v>0</v>
      </c>
      <c r="H36" s="410">
        <v>0</v>
      </c>
      <c r="I36" s="410">
        <v>0</v>
      </c>
      <c r="J36" s="410">
        <v>0</v>
      </c>
      <c r="K36" s="410">
        <v>0</v>
      </c>
      <c r="L36" s="15"/>
      <c r="M36" s="404">
        <v>0</v>
      </c>
      <c r="N36" s="404">
        <v>0</v>
      </c>
      <c r="O36" s="404">
        <v>0</v>
      </c>
      <c r="P36" s="410">
        <v>0</v>
      </c>
      <c r="Q36" s="15"/>
      <c r="R36" s="70" t="s">
        <v>27</v>
      </c>
      <c r="S36" s="70" t="s">
        <v>1</v>
      </c>
      <c r="T36" s="70" t="s">
        <v>33</v>
      </c>
    </row>
    <row r="37" spans="1:20" x14ac:dyDescent="0.3">
      <c r="A37" s="47"/>
      <c r="B37" s="47"/>
      <c r="C37" s="45" t="str">
        <f>$W$18</f>
        <v>PGT (Masters' loan)</v>
      </c>
      <c r="D37" s="72">
        <v>5841.77</v>
      </c>
      <c r="E37" s="404">
        <v>0</v>
      </c>
      <c r="F37" s="404">
        <v>0</v>
      </c>
      <c r="G37" s="404">
        <v>0</v>
      </c>
      <c r="H37" s="410">
        <v>0</v>
      </c>
      <c r="I37" s="410">
        <v>0</v>
      </c>
      <c r="J37" s="410">
        <v>0</v>
      </c>
      <c r="K37" s="410">
        <v>0</v>
      </c>
      <c r="L37" s="15"/>
      <c r="M37" s="404">
        <v>0</v>
      </c>
      <c r="N37" s="404">
        <v>0</v>
      </c>
      <c r="O37" s="404">
        <v>0</v>
      </c>
      <c r="P37" s="410">
        <v>0</v>
      </c>
      <c r="Q37" s="15"/>
      <c r="R37" s="70" t="s">
        <v>27</v>
      </c>
      <c r="S37" s="70" t="s">
        <v>1</v>
      </c>
      <c r="T37" s="70" t="s">
        <v>46</v>
      </c>
    </row>
    <row r="38" spans="1:20" x14ac:dyDescent="0.3">
      <c r="A38" s="86"/>
      <c r="B38" s="86"/>
      <c r="C38" s="87" t="str">
        <f>$W$19</f>
        <v>PGT (Other)</v>
      </c>
      <c r="D38" s="88">
        <v>2888.7</v>
      </c>
      <c r="E38" s="407">
        <v>0</v>
      </c>
      <c r="F38" s="407">
        <v>0</v>
      </c>
      <c r="G38" s="407">
        <v>0</v>
      </c>
      <c r="H38" s="411">
        <v>0</v>
      </c>
      <c r="I38" s="411">
        <v>0</v>
      </c>
      <c r="J38" s="411">
        <v>0</v>
      </c>
      <c r="K38" s="411">
        <v>0</v>
      </c>
      <c r="L38" s="15"/>
      <c r="M38" s="407">
        <v>0</v>
      </c>
      <c r="N38" s="407">
        <v>0</v>
      </c>
      <c r="O38" s="407">
        <v>0</v>
      </c>
      <c r="P38" s="411">
        <v>0</v>
      </c>
      <c r="Q38" s="15"/>
      <c r="R38" s="70" t="s">
        <v>27</v>
      </c>
      <c r="S38" s="70" t="s">
        <v>1</v>
      </c>
      <c r="T38" s="70" t="s">
        <v>47</v>
      </c>
    </row>
    <row r="39" spans="1:20" x14ac:dyDescent="0.3">
      <c r="A39" s="65" t="s">
        <v>9</v>
      </c>
      <c r="B39" s="65" t="s">
        <v>217</v>
      </c>
      <c r="C39" s="45" t="s">
        <v>6</v>
      </c>
      <c r="D39" s="91">
        <v>350095.21</v>
      </c>
      <c r="E39" s="412">
        <v>0</v>
      </c>
      <c r="F39" s="412">
        <v>0</v>
      </c>
      <c r="G39" s="412">
        <v>0</v>
      </c>
      <c r="H39" s="415">
        <v>0</v>
      </c>
      <c r="I39" s="415">
        <v>0</v>
      </c>
      <c r="J39" s="415">
        <v>0</v>
      </c>
      <c r="K39" s="415">
        <v>0</v>
      </c>
      <c r="L39" s="15"/>
      <c r="M39" s="412">
        <v>0</v>
      </c>
      <c r="N39" s="412">
        <v>0</v>
      </c>
      <c r="O39" s="412">
        <v>0</v>
      </c>
      <c r="P39" s="415">
        <v>0</v>
      </c>
      <c r="Q39" s="15"/>
      <c r="R39" s="70" t="s">
        <v>9</v>
      </c>
      <c r="S39" s="70" t="s">
        <v>2</v>
      </c>
      <c r="T39" s="70" t="s">
        <v>6</v>
      </c>
    </row>
    <row r="40" spans="1:20" x14ac:dyDescent="0.3">
      <c r="A40" s="47"/>
      <c r="B40" s="47"/>
      <c r="C40" s="45" t="str">
        <f>$W$17</f>
        <v>PGT (UG fee)</v>
      </c>
      <c r="D40" s="72">
        <v>34.76</v>
      </c>
      <c r="E40" s="404">
        <v>0</v>
      </c>
      <c r="F40" s="404">
        <v>0</v>
      </c>
      <c r="G40" s="404">
        <v>0</v>
      </c>
      <c r="H40" s="410">
        <v>0</v>
      </c>
      <c r="I40" s="410">
        <v>0</v>
      </c>
      <c r="J40" s="410">
        <v>0</v>
      </c>
      <c r="K40" s="410">
        <v>0</v>
      </c>
      <c r="L40" s="15"/>
      <c r="M40" s="404">
        <v>0</v>
      </c>
      <c r="N40" s="404">
        <v>0</v>
      </c>
      <c r="O40" s="404">
        <v>0</v>
      </c>
      <c r="P40" s="410">
        <v>0</v>
      </c>
      <c r="Q40" s="15"/>
      <c r="R40" s="70" t="s">
        <v>9</v>
      </c>
      <c r="S40" s="70" t="s">
        <v>2</v>
      </c>
      <c r="T40" s="70" t="s">
        <v>33</v>
      </c>
    </row>
    <row r="41" spans="1:20" x14ac:dyDescent="0.3">
      <c r="A41" s="47"/>
      <c r="B41" s="47"/>
      <c r="C41" s="45" t="str">
        <f>$W$18</f>
        <v>PGT (Masters' loan)</v>
      </c>
      <c r="D41" s="72">
        <v>25775.13</v>
      </c>
      <c r="E41" s="404">
        <v>0</v>
      </c>
      <c r="F41" s="404">
        <v>0</v>
      </c>
      <c r="G41" s="404">
        <v>0</v>
      </c>
      <c r="H41" s="410">
        <v>0</v>
      </c>
      <c r="I41" s="410">
        <v>0</v>
      </c>
      <c r="J41" s="410">
        <v>0</v>
      </c>
      <c r="K41" s="410">
        <v>0</v>
      </c>
      <c r="L41" s="15"/>
      <c r="M41" s="404">
        <v>0</v>
      </c>
      <c r="N41" s="404">
        <v>0</v>
      </c>
      <c r="O41" s="404">
        <v>0</v>
      </c>
      <c r="P41" s="410">
        <v>0</v>
      </c>
      <c r="Q41" s="15"/>
      <c r="R41" s="70" t="s">
        <v>9</v>
      </c>
      <c r="S41" s="70" t="s">
        <v>2</v>
      </c>
      <c r="T41" s="70" t="s">
        <v>46</v>
      </c>
    </row>
    <row r="42" spans="1:20" x14ac:dyDescent="0.3">
      <c r="A42" s="47"/>
      <c r="B42" s="75"/>
      <c r="C42" s="76" t="str">
        <f>$W$19</f>
        <v>PGT (Other)</v>
      </c>
      <c r="D42" s="77">
        <v>1408.47</v>
      </c>
      <c r="E42" s="405">
        <v>0</v>
      </c>
      <c r="F42" s="405">
        <v>0</v>
      </c>
      <c r="G42" s="405">
        <v>0</v>
      </c>
      <c r="H42" s="408">
        <v>0</v>
      </c>
      <c r="I42" s="408">
        <v>0</v>
      </c>
      <c r="J42" s="408">
        <v>0</v>
      </c>
      <c r="K42" s="408">
        <v>0</v>
      </c>
      <c r="M42" s="405">
        <v>0</v>
      </c>
      <c r="N42" s="405">
        <v>0</v>
      </c>
      <c r="O42" s="405">
        <v>0</v>
      </c>
      <c r="P42" s="408">
        <v>0</v>
      </c>
      <c r="R42" s="70" t="s">
        <v>9</v>
      </c>
      <c r="S42" s="70" t="s">
        <v>2</v>
      </c>
      <c r="T42" s="70" t="s">
        <v>47</v>
      </c>
    </row>
    <row r="43" spans="1:20" x14ac:dyDescent="0.3">
      <c r="A43" s="47"/>
      <c r="B43" s="80" t="s">
        <v>221</v>
      </c>
      <c r="C43" s="81" t="s">
        <v>6</v>
      </c>
      <c r="D43" s="82">
        <v>25978.25</v>
      </c>
      <c r="E43" s="406">
        <v>0</v>
      </c>
      <c r="F43" s="406">
        <v>0</v>
      </c>
      <c r="G43" s="406">
        <v>0</v>
      </c>
      <c r="H43" s="409">
        <v>0</v>
      </c>
      <c r="I43" s="409">
        <v>0</v>
      </c>
      <c r="J43" s="409">
        <v>0</v>
      </c>
      <c r="K43" s="409">
        <v>0</v>
      </c>
      <c r="M43" s="406">
        <v>0</v>
      </c>
      <c r="N43" s="406">
        <v>0</v>
      </c>
      <c r="O43" s="406">
        <v>0</v>
      </c>
      <c r="P43" s="409">
        <v>0</v>
      </c>
      <c r="R43" s="70" t="s">
        <v>9</v>
      </c>
      <c r="S43" s="70" t="s">
        <v>1</v>
      </c>
      <c r="T43" s="70" t="s">
        <v>6</v>
      </c>
    </row>
    <row r="44" spans="1:20" x14ac:dyDescent="0.3">
      <c r="A44" s="47"/>
      <c r="B44" s="47"/>
      <c r="C44" s="45" t="str">
        <f>$W$17</f>
        <v>PGT (UG fee)</v>
      </c>
      <c r="D44" s="72">
        <v>32.25</v>
      </c>
      <c r="E44" s="404">
        <v>0</v>
      </c>
      <c r="F44" s="404">
        <v>0</v>
      </c>
      <c r="G44" s="404">
        <v>0</v>
      </c>
      <c r="H44" s="410">
        <v>0</v>
      </c>
      <c r="I44" s="410">
        <v>0</v>
      </c>
      <c r="J44" s="410">
        <v>0</v>
      </c>
      <c r="K44" s="410">
        <v>0</v>
      </c>
      <c r="M44" s="404">
        <v>0</v>
      </c>
      <c r="N44" s="404">
        <v>0</v>
      </c>
      <c r="O44" s="404">
        <v>0</v>
      </c>
      <c r="P44" s="410">
        <v>0</v>
      </c>
      <c r="R44" s="70" t="s">
        <v>9</v>
      </c>
      <c r="S44" s="70" t="s">
        <v>1</v>
      </c>
      <c r="T44" s="70" t="s">
        <v>33</v>
      </c>
    </row>
    <row r="45" spans="1:20" x14ac:dyDescent="0.3">
      <c r="A45" s="47"/>
      <c r="B45" s="47"/>
      <c r="C45" s="45" t="str">
        <f>$W$18</f>
        <v>PGT (Masters' loan)</v>
      </c>
      <c r="D45" s="72">
        <v>10224.26</v>
      </c>
      <c r="E45" s="404">
        <v>0</v>
      </c>
      <c r="F45" s="404">
        <v>0</v>
      </c>
      <c r="G45" s="404">
        <v>0</v>
      </c>
      <c r="H45" s="410">
        <v>0</v>
      </c>
      <c r="I45" s="410">
        <v>0</v>
      </c>
      <c r="J45" s="410">
        <v>0</v>
      </c>
      <c r="K45" s="410">
        <v>0</v>
      </c>
      <c r="M45" s="404">
        <v>0</v>
      </c>
      <c r="N45" s="404">
        <v>0</v>
      </c>
      <c r="O45" s="404">
        <v>0</v>
      </c>
      <c r="P45" s="410">
        <v>0</v>
      </c>
      <c r="R45" s="70" t="s">
        <v>9</v>
      </c>
      <c r="S45" s="70" t="s">
        <v>1</v>
      </c>
      <c r="T45" s="70" t="s">
        <v>46</v>
      </c>
    </row>
    <row r="46" spans="1:20" ht="14" thickBot="1" x14ac:dyDescent="0.35">
      <c r="A46" s="47"/>
      <c r="B46" s="47"/>
      <c r="C46" s="45" t="str">
        <f>$W$19</f>
        <v>PGT (Other)</v>
      </c>
      <c r="D46" s="95">
        <v>3042.44</v>
      </c>
      <c r="E46" s="413">
        <v>0</v>
      </c>
      <c r="F46" s="413">
        <v>0</v>
      </c>
      <c r="G46" s="413">
        <v>0</v>
      </c>
      <c r="H46" s="416">
        <v>0</v>
      </c>
      <c r="I46" s="416">
        <v>0</v>
      </c>
      <c r="J46" s="416">
        <v>0</v>
      </c>
      <c r="K46" s="416">
        <v>0</v>
      </c>
      <c r="M46" s="413">
        <v>0</v>
      </c>
      <c r="N46" s="413">
        <v>0</v>
      </c>
      <c r="O46" s="413">
        <v>0</v>
      </c>
      <c r="P46" s="416">
        <v>0</v>
      </c>
      <c r="R46" s="70" t="s">
        <v>9</v>
      </c>
      <c r="S46" s="70" t="s">
        <v>1</v>
      </c>
      <c r="T46" s="70" t="s">
        <v>47</v>
      </c>
    </row>
    <row r="47" spans="1:20" ht="14" thickTop="1" x14ac:dyDescent="0.3">
      <c r="A47" s="96" t="s">
        <v>3</v>
      </c>
      <c r="B47" s="96"/>
      <c r="C47" s="97" t="s">
        <v>6</v>
      </c>
      <c r="D47" s="98">
        <f>SUMIF($C$5:$C$46,"="&amp;$C$47,D$5:D$46)</f>
        <v>1071915.8500000001</v>
      </c>
      <c r="E47" s="99">
        <f>SUM(E11,E15,E19,E23)</f>
        <v>20926.75</v>
      </c>
      <c r="F47" s="414"/>
      <c r="G47" s="99">
        <f>SUM(G5,G8)</f>
        <v>118.4</v>
      </c>
      <c r="H47" s="99">
        <f>SUM(H5,H11)</f>
        <v>-68.927999999999997</v>
      </c>
      <c r="I47" s="99">
        <f>SUM(I5,I8,I11,I15,I19,I23)</f>
        <v>1330.3400000000001</v>
      </c>
      <c r="J47" s="99">
        <f>SUM(J5,J8,J11,J15,J19,J23)</f>
        <v>493133.59199999995</v>
      </c>
      <c r="K47" s="100">
        <f>SUM(K5,K8,K11,K15,K19,K23)</f>
        <v>661262692</v>
      </c>
      <c r="M47" s="99">
        <f>SUM(M11,M15,M19,M23)</f>
        <v>20540.150000000001</v>
      </c>
      <c r="N47" s="99">
        <f>SUM(N5,N8,N11,N15,N19,N23)</f>
        <v>24909.329999999998</v>
      </c>
      <c r="O47" s="99">
        <f>SUM(O5,O8,O11,O15,O19,O23)</f>
        <v>66494.62999999999</v>
      </c>
      <c r="P47" s="100">
        <f>SUM(P5,P8,P11,P15,P19,P23)</f>
        <v>47426386</v>
      </c>
    </row>
    <row r="48" spans="1:20" x14ac:dyDescent="0.3">
      <c r="A48" s="101"/>
      <c r="B48" s="101"/>
      <c r="C48" s="18" t="str">
        <f>$W$17</f>
        <v>PGT (UG fee)</v>
      </c>
      <c r="D48" s="72">
        <f>SUMIF($C$5:$C$46,"="&amp;$C$48,D$5:D$46)</f>
        <v>5936.07</v>
      </c>
      <c r="E48" s="404"/>
      <c r="F48" s="73">
        <f>SUM(F12,F16,F20,F24)</f>
        <v>2171.6200000000003</v>
      </c>
      <c r="G48" s="404"/>
      <c r="H48" s="404"/>
      <c r="I48" s="73">
        <f>SUM(I12,I16,I20,I24)</f>
        <v>0</v>
      </c>
      <c r="J48" s="73">
        <f>SUM(J12,J16,J20,J24)</f>
        <v>4559.24</v>
      </c>
      <c r="K48" s="74">
        <f>SUM(K12,K16,K20,K24)</f>
        <v>3995447</v>
      </c>
      <c r="M48" s="404"/>
      <c r="N48" s="73">
        <f>SUM(N12,N16,N20,N24)</f>
        <v>2228.98</v>
      </c>
      <c r="O48" s="73">
        <f>SUM(O12,O16,O20,O24)</f>
        <v>4400.6000000000004</v>
      </c>
      <c r="P48" s="74">
        <f>SUM(P12,P16,P20,P24)</f>
        <v>3767578</v>
      </c>
    </row>
    <row r="49" spans="1:22" x14ac:dyDescent="0.3">
      <c r="A49" s="101"/>
      <c r="B49" s="101"/>
      <c r="C49" s="18" t="str">
        <f>$W$18</f>
        <v>PGT (Masters' loan)</v>
      </c>
      <c r="D49" s="72">
        <f>SUMIF($C$5:$C$46,"="&amp;$C$49,D$5:D$46)</f>
        <v>81647.31</v>
      </c>
      <c r="E49" s="404"/>
      <c r="F49" s="404"/>
      <c r="G49" s="404"/>
      <c r="H49" s="404"/>
      <c r="I49" s="73">
        <f>SUM(I6,I9,I13,I17,I21,I25)</f>
        <v>2.59</v>
      </c>
      <c r="J49" s="73">
        <f t="shared" ref="J49:K49" si="0">SUM(J6,J9,J13,J17,J21,J25)</f>
        <v>27447.81</v>
      </c>
      <c r="K49" s="74">
        <f t="shared" si="0"/>
        <v>38194007</v>
      </c>
      <c r="M49" s="404"/>
      <c r="N49" s="404"/>
      <c r="O49" s="404"/>
      <c r="P49" s="417"/>
    </row>
    <row r="50" spans="1:22" x14ac:dyDescent="0.3">
      <c r="A50" s="101"/>
      <c r="B50" s="101"/>
      <c r="C50" s="102" t="str">
        <f>$W$19</f>
        <v>PGT (Other)</v>
      </c>
      <c r="D50" s="95">
        <f>SUMIF($C$5:$C$46,"="&amp;$C$50,D$5:D$46)</f>
        <v>12064.720000000001</v>
      </c>
      <c r="E50" s="413"/>
      <c r="F50" s="413"/>
      <c r="G50" s="413"/>
      <c r="H50" s="413"/>
      <c r="I50" s="103">
        <f>SUM(I7,I10,I14,I18,I22,I26)</f>
        <v>2.21</v>
      </c>
      <c r="J50" s="103">
        <f t="shared" ref="J50" si="1">SUM(J7,J10,J14,J18,J22,J26)</f>
        <v>3484.45</v>
      </c>
      <c r="K50" s="104">
        <f>SUM(K7,K10,K14,K18,K22,K26)</f>
        <v>9156478</v>
      </c>
      <c r="M50" s="413"/>
      <c r="N50" s="413"/>
      <c r="O50" s="413"/>
      <c r="P50" s="421"/>
    </row>
    <row r="51" spans="1:22" ht="14" thickBot="1" x14ac:dyDescent="0.35">
      <c r="A51" s="105"/>
      <c r="B51" s="105"/>
      <c r="C51" s="106" t="s">
        <v>4</v>
      </c>
      <c r="D51" s="107">
        <f>SUM(D47:D50)</f>
        <v>1171563.9500000002</v>
      </c>
      <c r="E51" s="108">
        <f>E47</f>
        <v>20926.75</v>
      </c>
      <c r="F51" s="108">
        <f>F48</f>
        <v>2171.6200000000003</v>
      </c>
      <c r="G51" s="108">
        <f>G47</f>
        <v>118.4</v>
      </c>
      <c r="H51" s="109">
        <f>H47</f>
        <v>-68.927999999999997</v>
      </c>
      <c r="I51" s="109">
        <f t="shared" ref="I51:K51" si="2">SUM(I47:I50)</f>
        <v>1335.14</v>
      </c>
      <c r="J51" s="109">
        <f t="shared" si="2"/>
        <v>528625.09199999995</v>
      </c>
      <c r="K51" s="110">
        <f t="shared" si="2"/>
        <v>712608624</v>
      </c>
      <c r="M51" s="108">
        <f>M47</f>
        <v>20540.150000000001</v>
      </c>
      <c r="N51" s="108">
        <f>SUM(N47:N48)</f>
        <v>27138.309999999998</v>
      </c>
      <c r="O51" s="108">
        <f>SUM(O47:O48)</f>
        <v>70895.23</v>
      </c>
      <c r="P51" s="110">
        <f>SUM(P47:P48)</f>
        <v>51193964</v>
      </c>
      <c r="V51" s="15"/>
    </row>
    <row r="52" spans="1:22" x14ac:dyDescent="0.3">
      <c r="V52" s="15"/>
    </row>
    <row r="53" spans="1:22" x14ac:dyDescent="0.3">
      <c r="A53" s="7" t="s">
        <v>281</v>
      </c>
      <c r="V53" s="15"/>
    </row>
    <row r="54" spans="1:22" x14ac:dyDescent="0.3">
      <c r="A54" s="7" t="s">
        <v>282</v>
      </c>
      <c r="V54" s="15"/>
    </row>
    <row r="55" spans="1:22" x14ac:dyDescent="0.3">
      <c r="V55" s="15"/>
    </row>
    <row r="56" spans="1:22" hidden="1" x14ac:dyDescent="0.3">
      <c r="D56" s="70" t="s">
        <v>43</v>
      </c>
      <c r="E56" s="70" t="s">
        <v>191</v>
      </c>
      <c r="F56" s="70" t="s">
        <v>193</v>
      </c>
      <c r="G56" s="70" t="s">
        <v>194</v>
      </c>
      <c r="H56" s="70" t="s">
        <v>35</v>
      </c>
      <c r="I56" s="70" t="s">
        <v>258</v>
      </c>
      <c r="J56" s="70" t="s">
        <v>259</v>
      </c>
      <c r="K56" s="70" t="s">
        <v>260</v>
      </c>
      <c r="L56" s="111"/>
      <c r="M56" s="70" t="s">
        <v>192</v>
      </c>
      <c r="N56" s="70" t="s">
        <v>257</v>
      </c>
      <c r="O56" s="70" t="s">
        <v>132</v>
      </c>
      <c r="P56" s="112" t="s">
        <v>261</v>
      </c>
    </row>
    <row r="57" spans="1:22" x14ac:dyDescent="0.3">
      <c r="A57" s="15"/>
      <c r="B57" s="15"/>
      <c r="C57" s="15"/>
      <c r="D57" s="15"/>
      <c r="E57" s="15"/>
      <c r="F57" s="15"/>
      <c r="G57" s="15"/>
      <c r="H57" s="322"/>
      <c r="I57" s="15"/>
      <c r="J57" s="15"/>
      <c r="K57" s="15"/>
      <c r="L57" s="15"/>
      <c r="M57" s="15"/>
      <c r="N57" s="15"/>
      <c r="O57" s="15"/>
      <c r="P57" s="15"/>
      <c r="Q57" s="15"/>
      <c r="R57" s="15"/>
    </row>
    <row r="58" spans="1:22" x14ac:dyDescent="0.3">
      <c r="A58" s="47"/>
      <c r="B58" s="47"/>
      <c r="C58" s="47"/>
      <c r="D58" s="15"/>
      <c r="E58" s="15"/>
      <c r="F58" s="15"/>
      <c r="G58" s="15"/>
      <c r="H58" s="15"/>
      <c r="I58" s="15"/>
      <c r="J58" s="15"/>
      <c r="K58" s="15"/>
      <c r="L58" s="15"/>
      <c r="M58" s="15"/>
      <c r="N58" s="15"/>
      <c r="O58" s="15"/>
      <c r="P58" s="15"/>
      <c r="Q58" s="15"/>
      <c r="R58" s="15"/>
    </row>
    <row r="59" spans="1:22" x14ac:dyDescent="0.3">
      <c r="A59" s="47"/>
      <c r="B59" s="47"/>
      <c r="C59" s="47"/>
      <c r="D59" s="15"/>
      <c r="E59" s="15"/>
      <c r="F59" s="15"/>
      <c r="G59" s="15"/>
      <c r="H59" s="322"/>
      <c r="I59" s="15"/>
      <c r="J59" s="15"/>
      <c r="K59" s="15"/>
      <c r="L59" s="15"/>
      <c r="M59" s="15"/>
      <c r="N59" s="15"/>
      <c r="O59" s="15"/>
      <c r="P59" s="15"/>
      <c r="Q59" s="15"/>
      <c r="R59" s="15"/>
    </row>
    <row r="60" spans="1:22" x14ac:dyDescent="0.3">
      <c r="A60" s="47"/>
      <c r="B60" s="47"/>
      <c r="C60" s="47"/>
      <c r="D60" s="15"/>
      <c r="E60" s="15"/>
      <c r="F60" s="15"/>
      <c r="G60" s="15"/>
      <c r="H60" s="15"/>
      <c r="I60" s="15"/>
      <c r="J60" s="15"/>
      <c r="K60" s="15"/>
      <c r="L60" s="15"/>
      <c r="M60" s="15"/>
      <c r="N60" s="15"/>
      <c r="O60" s="15"/>
      <c r="P60" s="15"/>
      <c r="Q60" s="15"/>
      <c r="R60" s="15"/>
    </row>
    <row r="61" spans="1:22" x14ac:dyDescent="0.3">
      <c r="A61" s="47"/>
      <c r="B61" s="47"/>
      <c r="C61" s="47"/>
    </row>
    <row r="62" spans="1:22" x14ac:dyDescent="0.3">
      <c r="A62" s="47"/>
      <c r="B62" s="47"/>
      <c r="C62" s="47"/>
    </row>
    <row r="63" spans="1:22" x14ac:dyDescent="0.3">
      <c r="A63" s="47"/>
      <c r="B63" s="47"/>
      <c r="C63" s="47"/>
    </row>
    <row r="64" spans="1:22" x14ac:dyDescent="0.3">
      <c r="A64" s="113"/>
      <c r="B64" s="113"/>
      <c r="C64" s="113"/>
    </row>
  </sheetData>
  <mergeCells count="3">
    <mergeCell ref="B31:B32"/>
    <mergeCell ref="A1:J1"/>
    <mergeCell ref="M3:P3"/>
  </mergeCells>
  <phoneticPr fontId="0" type="noConversion"/>
  <conditionalFormatting sqref="E5:F10 F11 E12:E14 F13:F15 E16:E18 F17:F19 E20:E22 F21:F23 E24:E29 E30 F25:F31 E32:E46 F33:F46 F47 E48:E50 F49:F50 G48:H50 G6:H7 H8:H10 G9:G46 G48:G50 H12:H46 I27:K46 M5:M10 M12:M14 M16:M18 M20:M22 M24:M46 M48:M50 N6:P7 N9:P10 N13:P14 N17:P18 N21:P22 N25:P46 N49:P50">
    <cfRule type="cellIs" dxfId="10" priority="2" operator="equal">
      <formula>0</formula>
    </cfRule>
  </conditionalFormatting>
  <conditionalFormatting sqref="D5:D51 E51 E47 F51 F48 G51 G47 H51 H47 I47:K51 F24 E23 F20 E19 F16 E15 H11 F12 E11 G8 G5:H5 I5:K26 N5:P5 N8:P8 M11:N11 M11:P11 N12:P12 M15:P15 N16:P16 M19:P19 N20:P20 M23:P23 N24:P24 M47:P47 N48:P48 P48 M51:P51">
    <cfRule type="cellIs" dxfId="9" priority="1" operator="equal">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&amp;CPage &amp;P&amp;R&amp;F</oddHeader>
  </headerFooter>
  <ignoredErrors>
    <ignoredError sqref="F5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39997558519241921"/>
  </sheetPr>
  <dimension ref="A1:AJ94"/>
  <sheetViews>
    <sheetView showGridLines="0" zoomScaleNormal="100" workbookViewId="0">
      <selection sqref="A1:F1"/>
    </sheetView>
  </sheetViews>
  <sheetFormatPr defaultColWidth="9.1796875" defaultRowHeight="13.5" x14ac:dyDescent="0.3"/>
  <cols>
    <col min="1" max="1" width="14.7265625" style="118" customWidth="1"/>
    <col min="2" max="2" width="14.26953125" style="118" customWidth="1"/>
    <col min="3" max="3" width="12.54296875" style="118" customWidth="1"/>
    <col min="4" max="4" width="23.1796875" style="118" customWidth="1"/>
    <col min="5" max="5" width="25.36328125" style="114" customWidth="1"/>
    <col min="6" max="6" width="6.81640625" style="114" customWidth="1"/>
    <col min="7" max="7" width="13.453125" style="115" customWidth="1"/>
    <col min="8" max="8" width="25.81640625" style="116" hidden="1" customWidth="1"/>
    <col min="9" max="9" width="15.453125" style="115" hidden="1" customWidth="1"/>
    <col min="10" max="10" width="12.1796875" style="117" hidden="1" customWidth="1"/>
    <col min="11" max="11" width="12.1796875" style="117" customWidth="1"/>
    <col min="12" max="12" width="9.1796875" style="118" customWidth="1"/>
    <col min="13" max="13" width="13.7265625" style="118" customWidth="1"/>
    <col min="14" max="14" width="13.54296875" style="118" customWidth="1"/>
    <col min="15" max="16" width="9.1796875" style="118" customWidth="1"/>
    <col min="17" max="17" width="9.1796875" style="118"/>
    <col min="18" max="18" width="11.7265625" style="118" bestFit="1" customWidth="1"/>
    <col min="19" max="16384" width="9.1796875" style="118"/>
  </cols>
  <sheetData>
    <row r="1" spans="1:15" ht="15.75" customHeight="1" x14ac:dyDescent="0.3">
      <c r="A1" s="528" t="str">
        <f>'A Summary'!J8</f>
        <v xml:space="preserve">Sector summary of all providers </v>
      </c>
      <c r="B1" s="528"/>
      <c r="C1" s="528"/>
      <c r="D1" s="528"/>
      <c r="E1" s="528"/>
      <c r="F1" s="528"/>
    </row>
    <row r="2" spans="1:15" ht="15" customHeight="1" x14ac:dyDescent="0.3">
      <c r="E2" s="15"/>
      <c r="F2" s="15"/>
    </row>
    <row r="3" spans="1:15" ht="15.5" x14ac:dyDescent="0.35">
      <c r="A3" s="119" t="s">
        <v>235</v>
      </c>
      <c r="B3" s="119"/>
      <c r="C3" s="119"/>
      <c r="D3" s="119"/>
      <c r="I3" s="118" t="s">
        <v>306</v>
      </c>
    </row>
    <row r="4" spans="1:15" ht="40" customHeight="1" thickBot="1" x14ac:dyDescent="0.35">
      <c r="A4" s="515" t="s">
        <v>224</v>
      </c>
      <c r="B4" s="515"/>
      <c r="C4" s="515"/>
      <c r="D4" s="515"/>
      <c r="E4" s="515"/>
      <c r="F4" s="120"/>
      <c r="G4" s="123"/>
      <c r="I4" s="471" t="s">
        <v>311</v>
      </c>
    </row>
    <row r="5" spans="1:15" ht="58.25" customHeight="1" x14ac:dyDescent="0.3">
      <c r="A5" s="125" t="s">
        <v>195</v>
      </c>
      <c r="B5" s="125" t="s">
        <v>196</v>
      </c>
      <c r="C5" s="126" t="s">
        <v>197</v>
      </c>
      <c r="D5" s="126" t="s">
        <v>198</v>
      </c>
      <c r="E5" s="397" t="s">
        <v>263</v>
      </c>
      <c r="F5" s="120"/>
      <c r="G5" s="123"/>
      <c r="H5" s="129" t="s">
        <v>57</v>
      </c>
      <c r="I5" s="472" t="s">
        <v>312</v>
      </c>
      <c r="J5" s="130"/>
      <c r="K5" s="131"/>
    </row>
    <row r="6" spans="1:15" ht="15" customHeight="1" x14ac:dyDescent="0.3">
      <c r="A6" s="132" t="s">
        <v>199</v>
      </c>
      <c r="B6" s="132" t="s">
        <v>200</v>
      </c>
      <c r="C6" s="476" t="s">
        <v>201</v>
      </c>
      <c r="D6" s="476">
        <v>1</v>
      </c>
      <c r="E6" s="133">
        <v>123956</v>
      </c>
      <c r="F6" s="134"/>
      <c r="G6" s="123"/>
      <c r="H6" s="136" t="s">
        <v>157</v>
      </c>
      <c r="I6" s="123"/>
      <c r="J6" s="118"/>
      <c r="K6" s="131"/>
      <c r="L6" s="137"/>
      <c r="M6" s="137"/>
    </row>
    <row r="7" spans="1:15" ht="15" customHeight="1" x14ac:dyDescent="0.3">
      <c r="A7" s="138"/>
      <c r="B7" s="139"/>
      <c r="C7" s="478" t="s">
        <v>202</v>
      </c>
      <c r="D7" s="478">
        <v>2</v>
      </c>
      <c r="E7" s="140">
        <v>175648</v>
      </c>
      <c r="F7" s="134"/>
      <c r="G7" s="123"/>
      <c r="H7" s="136" t="s">
        <v>158</v>
      </c>
      <c r="I7" s="123"/>
      <c r="J7" s="118"/>
      <c r="K7" s="131"/>
      <c r="L7" s="137"/>
      <c r="M7" s="137"/>
    </row>
    <row r="8" spans="1:15" ht="15" customHeight="1" x14ac:dyDescent="0.3">
      <c r="A8" s="138"/>
      <c r="B8" s="138" t="s">
        <v>203</v>
      </c>
      <c r="C8" s="477" t="s">
        <v>201</v>
      </c>
      <c r="D8" s="477">
        <v>1.5</v>
      </c>
      <c r="E8" s="481">
        <v>57567</v>
      </c>
      <c r="F8" s="134"/>
      <c r="G8" s="123"/>
      <c r="H8" s="136" t="s">
        <v>159</v>
      </c>
      <c r="I8" s="123"/>
      <c r="K8" s="131"/>
      <c r="L8" s="137"/>
      <c r="M8" s="137"/>
    </row>
    <row r="9" spans="1:15" ht="15" customHeight="1" x14ac:dyDescent="0.3">
      <c r="A9" s="141"/>
      <c r="B9" s="141"/>
      <c r="C9" s="479" t="s">
        <v>202</v>
      </c>
      <c r="D9" s="479">
        <v>2.5</v>
      </c>
      <c r="E9" s="482">
        <v>36046</v>
      </c>
      <c r="F9" s="134"/>
      <c r="G9" s="123"/>
      <c r="H9" s="136" t="s">
        <v>160</v>
      </c>
      <c r="I9" s="123"/>
      <c r="K9" s="131"/>
      <c r="L9" s="137"/>
      <c r="M9" s="137"/>
    </row>
    <row r="10" spans="1:15" ht="15" customHeight="1" x14ac:dyDescent="0.3">
      <c r="A10" s="138" t="s">
        <v>204</v>
      </c>
      <c r="B10" s="138" t="s">
        <v>200</v>
      </c>
      <c r="C10" s="477" t="s">
        <v>201</v>
      </c>
      <c r="D10" s="477">
        <v>1.5</v>
      </c>
      <c r="E10" s="481">
        <v>3416</v>
      </c>
      <c r="F10" s="134"/>
      <c r="G10" s="123"/>
      <c r="H10" s="136" t="s">
        <v>161</v>
      </c>
      <c r="I10" s="123"/>
      <c r="J10" s="118"/>
      <c r="K10" s="131"/>
      <c r="L10" s="137"/>
      <c r="M10" s="137"/>
    </row>
    <row r="11" spans="1:15" ht="15" customHeight="1" x14ac:dyDescent="0.3">
      <c r="A11" s="138"/>
      <c r="B11" s="139"/>
      <c r="C11" s="478" t="s">
        <v>202</v>
      </c>
      <c r="D11" s="478">
        <v>3</v>
      </c>
      <c r="E11" s="140">
        <v>14320</v>
      </c>
      <c r="F11" s="134"/>
      <c r="G11" s="123"/>
      <c r="H11" s="136" t="s">
        <v>162</v>
      </c>
      <c r="I11" s="123"/>
      <c r="J11" s="118"/>
      <c r="K11" s="131"/>
      <c r="L11" s="137"/>
      <c r="M11" s="137"/>
    </row>
    <row r="12" spans="1:15" ht="15" customHeight="1" x14ac:dyDescent="0.3">
      <c r="A12" s="138"/>
      <c r="B12" s="138" t="s">
        <v>203</v>
      </c>
      <c r="C12" s="477" t="s">
        <v>201</v>
      </c>
      <c r="D12" s="477">
        <v>1.5</v>
      </c>
      <c r="E12" s="481">
        <v>1944</v>
      </c>
      <c r="F12" s="134"/>
      <c r="G12" s="123"/>
      <c r="H12" s="136" t="s">
        <v>163</v>
      </c>
      <c r="I12" s="123"/>
      <c r="J12" s="118"/>
      <c r="K12" s="131"/>
      <c r="L12" s="137"/>
      <c r="M12" s="137"/>
    </row>
    <row r="13" spans="1:15" ht="15" customHeight="1" x14ac:dyDescent="0.3">
      <c r="A13" s="141"/>
      <c r="B13" s="479"/>
      <c r="C13" s="479" t="s">
        <v>202</v>
      </c>
      <c r="D13" s="479">
        <v>2.5</v>
      </c>
      <c r="E13" s="482">
        <v>10526</v>
      </c>
      <c r="F13" s="134"/>
      <c r="G13" s="123"/>
      <c r="H13" s="136" t="s">
        <v>164</v>
      </c>
      <c r="I13" s="123"/>
      <c r="J13" s="118"/>
      <c r="K13" s="131"/>
      <c r="L13" s="137"/>
      <c r="M13" s="137"/>
      <c r="N13" s="131"/>
      <c r="O13" s="131"/>
    </row>
    <row r="14" spans="1:15" ht="15" customHeight="1" x14ac:dyDescent="0.3">
      <c r="A14" s="138"/>
      <c r="B14" s="477"/>
      <c r="C14" s="477"/>
      <c r="D14" s="477"/>
      <c r="E14" s="481"/>
      <c r="F14" s="134"/>
      <c r="G14" s="123"/>
      <c r="H14" s="142"/>
      <c r="I14" s="123"/>
      <c r="J14" s="118"/>
      <c r="K14" s="131"/>
      <c r="L14" s="137"/>
      <c r="M14" s="137"/>
      <c r="N14" s="131"/>
      <c r="O14" s="131"/>
    </row>
    <row r="15" spans="1:15" s="131" customFormat="1" ht="15" customHeight="1" x14ac:dyDescent="0.3">
      <c r="A15" s="516" t="s">
        <v>102</v>
      </c>
      <c r="B15" s="516"/>
      <c r="C15" s="516"/>
      <c r="D15" s="516"/>
      <c r="E15" s="143">
        <v>729032.5</v>
      </c>
      <c r="F15" s="144"/>
      <c r="G15" s="122"/>
      <c r="H15" s="136" t="s">
        <v>72</v>
      </c>
      <c r="I15" s="122"/>
      <c r="N15" s="118"/>
      <c r="O15" s="118"/>
    </row>
    <row r="16" spans="1:15" ht="15" customHeight="1" x14ac:dyDescent="0.3">
      <c r="A16" s="513" t="s">
        <v>205</v>
      </c>
      <c r="B16" s="513"/>
      <c r="C16" s="513"/>
      <c r="D16" s="513"/>
      <c r="E16" s="481">
        <v>940953</v>
      </c>
      <c r="F16" s="134"/>
      <c r="G16" s="123"/>
      <c r="H16" s="136" t="s">
        <v>73</v>
      </c>
      <c r="I16" s="123"/>
      <c r="J16" s="118"/>
      <c r="K16" s="131"/>
    </row>
    <row r="17" spans="1:13" ht="15" customHeight="1" x14ac:dyDescent="0.3">
      <c r="A17" s="517" t="s">
        <v>218</v>
      </c>
      <c r="B17" s="517"/>
      <c r="C17" s="517"/>
      <c r="D17" s="517"/>
      <c r="E17" s="145">
        <v>0.77478099331209904</v>
      </c>
      <c r="F17" s="134"/>
      <c r="G17" s="147"/>
      <c r="H17" s="148" t="s">
        <v>175</v>
      </c>
      <c r="I17" s="147"/>
      <c r="J17" s="118"/>
      <c r="K17" s="131"/>
    </row>
    <row r="18" spans="1:13" ht="15" customHeight="1" x14ac:dyDescent="0.3">
      <c r="A18" s="518" t="s">
        <v>238</v>
      </c>
      <c r="B18" s="518"/>
      <c r="C18" s="518"/>
      <c r="D18" s="518"/>
      <c r="E18" s="490">
        <v>1025142.44</v>
      </c>
      <c r="F18" s="149"/>
      <c r="G18" s="123"/>
      <c r="H18" s="136" t="s">
        <v>74</v>
      </c>
      <c r="I18" s="123"/>
      <c r="J18" s="118"/>
      <c r="K18" s="131"/>
    </row>
    <row r="19" spans="1:13" ht="15" customHeight="1" x14ac:dyDescent="0.3">
      <c r="A19" s="514" t="s">
        <v>15</v>
      </c>
      <c r="B19" s="514"/>
      <c r="C19" s="514"/>
      <c r="D19" s="514"/>
      <c r="E19" s="150" t="s">
        <v>318</v>
      </c>
      <c r="F19" s="134"/>
      <c r="G19" s="123"/>
      <c r="H19" s="142"/>
      <c r="I19" s="123"/>
      <c r="J19" s="118"/>
      <c r="K19" s="131"/>
      <c r="L19" s="137"/>
      <c r="M19" s="137"/>
    </row>
    <row r="20" spans="1:13" ht="15" customHeight="1" x14ac:dyDescent="0.3">
      <c r="A20" s="521" t="s">
        <v>18</v>
      </c>
      <c r="B20" s="521"/>
      <c r="C20" s="521"/>
      <c r="D20" s="521"/>
      <c r="E20" s="145">
        <v>811590.99871421501</v>
      </c>
      <c r="F20" s="134"/>
      <c r="G20" s="123"/>
      <c r="H20" s="136" t="s">
        <v>71</v>
      </c>
      <c r="I20" s="123"/>
      <c r="J20" s="118"/>
      <c r="K20" s="131"/>
    </row>
    <row r="21" spans="1:13" ht="15" customHeight="1" x14ac:dyDescent="0.3">
      <c r="A21" s="534" t="s">
        <v>19</v>
      </c>
      <c r="B21" s="534"/>
      <c r="C21" s="534"/>
      <c r="D21" s="534"/>
      <c r="E21" s="152">
        <v>175.32747000000001</v>
      </c>
      <c r="F21" s="134"/>
      <c r="G21" s="123"/>
      <c r="H21" s="136" t="s">
        <v>75</v>
      </c>
      <c r="I21" s="123"/>
      <c r="J21" s="118"/>
      <c r="K21" s="131"/>
      <c r="L21" s="131"/>
      <c r="M21" s="131"/>
    </row>
    <row r="22" spans="1:13" ht="15" customHeight="1" x14ac:dyDescent="0.3">
      <c r="A22" s="524" t="s">
        <v>51</v>
      </c>
      <c r="B22" s="524"/>
      <c r="C22" s="524"/>
      <c r="D22" s="524"/>
      <c r="E22" s="480">
        <v>142294205</v>
      </c>
      <c r="F22" s="134"/>
      <c r="G22" s="123"/>
      <c r="H22" s="136" t="s">
        <v>180</v>
      </c>
      <c r="I22" s="123"/>
      <c r="K22" s="131"/>
      <c r="L22" s="131"/>
      <c r="M22" s="131"/>
    </row>
    <row r="23" spans="1:13" ht="15" customHeight="1" thickBot="1" x14ac:dyDescent="0.35">
      <c r="A23" s="519" t="s">
        <v>211</v>
      </c>
      <c r="B23" s="519"/>
      <c r="C23" s="519"/>
      <c r="D23" s="519"/>
      <c r="E23" s="154">
        <v>11343787</v>
      </c>
      <c r="F23" s="134"/>
      <c r="G23" s="123"/>
      <c r="H23" s="136" t="s">
        <v>181</v>
      </c>
      <c r="I23" s="123"/>
      <c r="K23" s="131"/>
      <c r="L23" s="131"/>
      <c r="M23" s="131"/>
    </row>
    <row r="24" spans="1:13" ht="15" customHeight="1" x14ac:dyDescent="0.3">
      <c r="A24" s="155"/>
      <c r="B24" s="155"/>
      <c r="C24" s="155"/>
      <c r="D24" s="155"/>
      <c r="E24" s="156"/>
      <c r="F24" s="120"/>
      <c r="G24" s="123"/>
      <c r="H24" s="142"/>
      <c r="I24" s="123"/>
      <c r="J24" s="118"/>
      <c r="K24" s="131"/>
      <c r="L24" s="131"/>
      <c r="M24" s="131"/>
    </row>
    <row r="25" spans="1:13" ht="15" customHeight="1" x14ac:dyDescent="0.3">
      <c r="A25" s="157"/>
      <c r="B25" s="157"/>
      <c r="C25" s="157"/>
      <c r="D25" s="157"/>
      <c r="E25" s="153"/>
      <c r="F25" s="120"/>
      <c r="G25" s="123"/>
      <c r="H25" s="142"/>
      <c r="I25" s="123"/>
      <c r="J25" s="118"/>
      <c r="K25" s="131"/>
    </row>
    <row r="26" spans="1:13" ht="15" customHeight="1" x14ac:dyDescent="0.3">
      <c r="A26" s="121"/>
      <c r="B26" s="121"/>
      <c r="C26" s="121"/>
      <c r="D26" s="121"/>
      <c r="E26" s="153"/>
      <c r="F26" s="120"/>
      <c r="G26" s="123"/>
      <c r="H26" s="158"/>
      <c r="I26" s="123"/>
      <c r="J26" s="118"/>
      <c r="K26" s="131"/>
    </row>
    <row r="27" spans="1:13" ht="14" thickBot="1" x14ac:dyDescent="0.35">
      <c r="A27" s="532" t="s">
        <v>225</v>
      </c>
      <c r="B27" s="532"/>
      <c r="C27" s="532"/>
      <c r="D27" s="532"/>
      <c r="E27" s="532"/>
      <c r="F27" s="120"/>
      <c r="G27" s="123"/>
      <c r="H27" s="124"/>
      <c r="I27" s="123"/>
      <c r="J27" s="118"/>
      <c r="K27" s="131"/>
    </row>
    <row r="28" spans="1:13" ht="44.25" customHeight="1" x14ac:dyDescent="0.3">
      <c r="A28" s="125" t="s">
        <v>195</v>
      </c>
      <c r="B28" s="125" t="s">
        <v>196</v>
      </c>
      <c r="C28" s="126" t="s">
        <v>197</v>
      </c>
      <c r="D28" s="126" t="s">
        <v>206</v>
      </c>
      <c r="E28" s="127" t="s">
        <v>263</v>
      </c>
      <c r="F28" s="120"/>
      <c r="G28" s="123"/>
      <c r="H28" s="124"/>
      <c r="I28" s="123"/>
      <c r="J28" s="118"/>
      <c r="K28" s="131"/>
    </row>
    <row r="29" spans="1:13" ht="15" customHeight="1" x14ac:dyDescent="0.3">
      <c r="A29" s="132" t="s">
        <v>199</v>
      </c>
      <c r="B29" s="132" t="s">
        <v>200</v>
      </c>
      <c r="C29" s="476" t="s">
        <v>201</v>
      </c>
      <c r="D29" s="476" t="s">
        <v>207</v>
      </c>
      <c r="E29" s="481">
        <v>34076</v>
      </c>
      <c r="F29" s="134"/>
      <c r="G29" s="123"/>
      <c r="H29" s="136" t="s">
        <v>167</v>
      </c>
      <c r="I29" s="123"/>
      <c r="J29" s="118"/>
      <c r="K29" s="131"/>
    </row>
    <row r="30" spans="1:13" ht="15" customHeight="1" x14ac:dyDescent="0.3">
      <c r="A30" s="138"/>
      <c r="B30" s="139"/>
      <c r="C30" s="478" t="s">
        <v>202</v>
      </c>
      <c r="D30" s="478" t="s">
        <v>207</v>
      </c>
      <c r="E30" s="140">
        <v>63781</v>
      </c>
      <c r="F30" s="134"/>
      <c r="G30" s="123"/>
      <c r="H30" s="136" t="s">
        <v>168</v>
      </c>
      <c r="I30" s="123"/>
      <c r="J30" s="118"/>
      <c r="K30" s="131"/>
    </row>
    <row r="31" spans="1:13" ht="15" customHeight="1" x14ac:dyDescent="0.3">
      <c r="A31" s="138"/>
      <c r="B31" s="138" t="s">
        <v>203</v>
      </c>
      <c r="C31" s="477" t="s">
        <v>201</v>
      </c>
      <c r="D31" s="477" t="s">
        <v>207</v>
      </c>
      <c r="E31" s="481">
        <v>24534</v>
      </c>
      <c r="F31" s="134"/>
      <c r="G31" s="123"/>
      <c r="H31" s="136" t="s">
        <v>169</v>
      </c>
      <c r="I31" s="123"/>
      <c r="J31" s="118"/>
      <c r="K31" s="131"/>
    </row>
    <row r="32" spans="1:13" ht="15" customHeight="1" x14ac:dyDescent="0.3">
      <c r="A32" s="141"/>
      <c r="B32" s="141"/>
      <c r="C32" s="479" t="s">
        <v>202</v>
      </c>
      <c r="D32" s="479" t="s">
        <v>207</v>
      </c>
      <c r="E32" s="482">
        <v>15232</v>
      </c>
      <c r="F32" s="134"/>
      <c r="G32" s="123"/>
      <c r="H32" s="136" t="s">
        <v>170</v>
      </c>
      <c r="I32" s="123"/>
      <c r="J32" s="118"/>
      <c r="K32" s="131"/>
    </row>
    <row r="33" spans="1:16" ht="15" customHeight="1" x14ac:dyDescent="0.3">
      <c r="A33" s="138" t="s">
        <v>204</v>
      </c>
      <c r="B33" s="138" t="s">
        <v>200</v>
      </c>
      <c r="C33" s="477" t="s">
        <v>201</v>
      </c>
      <c r="D33" s="477" t="s">
        <v>207</v>
      </c>
      <c r="E33" s="481">
        <v>1153</v>
      </c>
      <c r="F33" s="134"/>
      <c r="G33" s="123"/>
      <c r="H33" s="136" t="s">
        <v>171</v>
      </c>
      <c r="I33" s="123"/>
      <c r="J33" s="118"/>
      <c r="K33" s="131"/>
    </row>
    <row r="34" spans="1:16" ht="15" customHeight="1" x14ac:dyDescent="0.3">
      <c r="A34" s="138"/>
      <c r="B34" s="139"/>
      <c r="C34" s="478" t="s">
        <v>202</v>
      </c>
      <c r="D34" s="478" t="s">
        <v>207</v>
      </c>
      <c r="E34" s="140">
        <v>6306</v>
      </c>
      <c r="F34" s="134"/>
      <c r="G34" s="123"/>
      <c r="H34" s="136" t="s">
        <v>172</v>
      </c>
      <c r="I34" s="123"/>
      <c r="J34" s="118"/>
      <c r="K34" s="131"/>
    </row>
    <row r="35" spans="1:16" ht="15" customHeight="1" x14ac:dyDescent="0.3">
      <c r="A35" s="138"/>
      <c r="B35" s="138" t="s">
        <v>203</v>
      </c>
      <c r="C35" s="477" t="s">
        <v>201</v>
      </c>
      <c r="D35" s="477" t="s">
        <v>207</v>
      </c>
      <c r="E35" s="481">
        <v>888</v>
      </c>
      <c r="F35" s="134"/>
      <c r="G35" s="123"/>
      <c r="H35" s="136" t="s">
        <v>173</v>
      </c>
      <c r="I35" s="123"/>
      <c r="J35" s="118"/>
      <c r="K35" s="131"/>
    </row>
    <row r="36" spans="1:16" ht="15" customHeight="1" x14ac:dyDescent="0.3">
      <c r="A36" s="141"/>
      <c r="B36" s="479"/>
      <c r="C36" s="479" t="s">
        <v>202</v>
      </c>
      <c r="D36" s="479" t="s">
        <v>207</v>
      </c>
      <c r="E36" s="482">
        <v>5151</v>
      </c>
      <c r="F36" s="134"/>
      <c r="G36" s="123"/>
      <c r="H36" s="136" t="s">
        <v>174</v>
      </c>
      <c r="I36" s="123"/>
      <c r="J36" s="118"/>
      <c r="K36" s="131"/>
    </row>
    <row r="37" spans="1:16" ht="15" customHeight="1" x14ac:dyDescent="0.3">
      <c r="A37" s="138"/>
      <c r="B37" s="477"/>
      <c r="C37" s="477"/>
      <c r="D37" s="477"/>
      <c r="E37" s="481"/>
      <c r="F37" s="134"/>
      <c r="G37" s="123"/>
      <c r="H37" s="142"/>
      <c r="I37" s="123"/>
      <c r="J37" s="118"/>
      <c r="K37" s="131"/>
    </row>
    <row r="38" spans="1:16" ht="15" customHeight="1" x14ac:dyDescent="0.3">
      <c r="A38" s="512" t="s">
        <v>308</v>
      </c>
      <c r="B38" s="512"/>
      <c r="C38" s="512"/>
      <c r="D38" s="512"/>
      <c r="E38" s="133">
        <v>151121</v>
      </c>
      <c r="F38" s="134"/>
      <c r="G38" s="123"/>
      <c r="H38" s="136" t="s">
        <v>76</v>
      </c>
      <c r="I38" s="123"/>
      <c r="J38" s="118"/>
      <c r="K38" s="131"/>
    </row>
    <row r="39" spans="1:16" ht="15" customHeight="1" x14ac:dyDescent="0.3">
      <c r="A39" s="513" t="s">
        <v>205</v>
      </c>
      <c r="B39" s="513"/>
      <c r="C39" s="513"/>
      <c r="D39" s="513"/>
      <c r="E39" s="481">
        <v>940953</v>
      </c>
      <c r="F39" s="134"/>
      <c r="G39" s="123"/>
      <c r="H39" s="136" t="s">
        <v>77</v>
      </c>
      <c r="I39" s="123"/>
      <c r="J39" s="118"/>
      <c r="K39" s="131"/>
    </row>
    <row r="40" spans="1:16" ht="15" customHeight="1" x14ac:dyDescent="0.3">
      <c r="A40" s="513" t="s">
        <v>219</v>
      </c>
      <c r="B40" s="513"/>
      <c r="C40" s="513"/>
      <c r="D40" s="513"/>
      <c r="E40" s="151">
        <v>0.16060419595877801</v>
      </c>
      <c r="F40" s="159"/>
      <c r="G40" s="123"/>
      <c r="H40" s="136" t="s">
        <v>176</v>
      </c>
      <c r="I40" s="123"/>
      <c r="J40" s="118"/>
      <c r="K40" s="131"/>
    </row>
    <row r="41" spans="1:16" s="131" customFormat="1" ht="15" customHeight="1" x14ac:dyDescent="0.3">
      <c r="A41" s="521" t="s">
        <v>103</v>
      </c>
      <c r="B41" s="521"/>
      <c r="C41" s="521"/>
      <c r="D41" s="521"/>
      <c r="E41" s="145">
        <v>0.44999378289882702</v>
      </c>
      <c r="F41" s="159"/>
      <c r="G41" s="147"/>
      <c r="H41" s="136" t="s">
        <v>177</v>
      </c>
      <c r="I41" s="122"/>
      <c r="N41" s="118"/>
      <c r="O41" s="118"/>
    </row>
    <row r="42" spans="1:16" ht="15" customHeight="1" x14ac:dyDescent="0.3">
      <c r="A42" s="526" t="s">
        <v>238</v>
      </c>
      <c r="B42" s="526"/>
      <c r="C42" s="526"/>
      <c r="D42" s="526"/>
      <c r="E42" s="491">
        <v>1025142.44</v>
      </c>
      <c r="F42" s="149"/>
      <c r="G42" s="123"/>
      <c r="H42" s="136" t="s">
        <v>74</v>
      </c>
      <c r="I42" s="123"/>
      <c r="J42" s="118"/>
      <c r="K42" s="131"/>
    </row>
    <row r="43" spans="1:16" ht="15" customHeight="1" x14ac:dyDescent="0.3">
      <c r="A43" s="514" t="s">
        <v>15</v>
      </c>
      <c r="B43" s="514"/>
      <c r="C43" s="514"/>
      <c r="D43" s="514"/>
      <c r="E43" s="151" t="s">
        <v>318</v>
      </c>
      <c r="F43" s="159"/>
      <c r="G43" s="123"/>
      <c r="H43" s="142"/>
      <c r="I43" s="123"/>
      <c r="J43" s="118"/>
      <c r="K43" s="131"/>
      <c r="L43" s="131"/>
      <c r="M43" s="131"/>
      <c r="N43" s="131"/>
      <c r="O43" s="131"/>
      <c r="P43" s="131"/>
    </row>
    <row r="44" spans="1:16" ht="15" customHeight="1" x14ac:dyDescent="0.3">
      <c r="A44" s="521" t="s">
        <v>18</v>
      </c>
      <c r="B44" s="521"/>
      <c r="C44" s="521"/>
      <c r="D44" s="521"/>
      <c r="E44" s="145">
        <v>103444.027357043</v>
      </c>
      <c r="F44" s="159"/>
      <c r="G44" s="123"/>
      <c r="H44" s="136" t="s">
        <v>78</v>
      </c>
      <c r="I44" s="123"/>
      <c r="J44" s="118"/>
      <c r="K44" s="131"/>
      <c r="L44" s="131"/>
      <c r="M44" s="131"/>
      <c r="N44" s="131"/>
      <c r="O44" s="131"/>
      <c r="P44" s="131"/>
    </row>
    <row r="45" spans="1:16" ht="15" customHeight="1" x14ac:dyDescent="0.3">
      <c r="A45" s="533" t="s">
        <v>19</v>
      </c>
      <c r="B45" s="533"/>
      <c r="C45" s="533"/>
      <c r="D45" s="533"/>
      <c r="E45" s="152">
        <v>181.19972999999999</v>
      </c>
      <c r="F45" s="159"/>
      <c r="G45" s="123"/>
      <c r="H45" s="136" t="s">
        <v>79</v>
      </c>
      <c r="I45" s="123"/>
      <c r="J45" s="118"/>
      <c r="K45" s="131"/>
      <c r="L45" s="131"/>
      <c r="M45" s="131"/>
      <c r="N45" s="131"/>
      <c r="O45" s="131"/>
      <c r="P45" s="131"/>
    </row>
    <row r="46" spans="1:16" ht="15" customHeight="1" x14ac:dyDescent="0.3">
      <c r="A46" s="524" t="s">
        <v>52</v>
      </c>
      <c r="B46" s="524"/>
      <c r="C46" s="524"/>
      <c r="D46" s="524"/>
      <c r="E46" s="480">
        <v>18744039</v>
      </c>
      <c r="F46" s="134"/>
      <c r="G46" s="123"/>
      <c r="H46" s="136" t="s">
        <v>182</v>
      </c>
      <c r="I46" s="123"/>
      <c r="K46" s="131"/>
      <c r="L46" s="131"/>
      <c r="M46" s="131"/>
      <c r="N46" s="131"/>
      <c r="O46" s="131"/>
      <c r="P46" s="131"/>
    </row>
    <row r="47" spans="1:16" ht="15" customHeight="1" thickBot="1" x14ac:dyDescent="0.35">
      <c r="A47" s="519" t="s">
        <v>211</v>
      </c>
      <c r="B47" s="519"/>
      <c r="C47" s="519"/>
      <c r="D47" s="519"/>
      <c r="E47" s="154">
        <v>1722351</v>
      </c>
      <c r="F47" s="134"/>
      <c r="G47" s="123"/>
      <c r="H47" s="136" t="s">
        <v>183</v>
      </c>
      <c r="I47" s="123"/>
      <c r="K47" s="131"/>
      <c r="L47" s="131"/>
      <c r="M47" s="131"/>
      <c r="N47" s="131"/>
      <c r="O47" s="131"/>
      <c r="P47" s="131"/>
    </row>
    <row r="48" spans="1:16" ht="15" customHeight="1" x14ac:dyDescent="0.3">
      <c r="A48" s="160"/>
      <c r="B48" s="160"/>
      <c r="C48" s="160"/>
      <c r="D48" s="160"/>
      <c r="E48" s="161"/>
      <c r="F48" s="120"/>
      <c r="G48" s="123"/>
      <c r="H48" s="124"/>
      <c r="I48" s="123"/>
      <c r="L48" s="117"/>
      <c r="M48" s="131"/>
      <c r="N48" s="131"/>
      <c r="O48" s="131"/>
      <c r="P48" s="131"/>
    </row>
    <row r="49" spans="1:16" ht="15" customHeight="1" x14ac:dyDescent="0.3">
      <c r="A49" s="162"/>
      <c r="B49" s="162"/>
      <c r="C49" s="162"/>
      <c r="D49" s="162"/>
      <c r="E49" s="146"/>
      <c r="F49" s="120"/>
      <c r="G49" s="123"/>
      <c r="H49" s="124"/>
      <c r="I49" s="123"/>
      <c r="L49" s="117"/>
      <c r="M49" s="131"/>
      <c r="N49" s="131"/>
      <c r="O49" s="131"/>
      <c r="P49" s="131"/>
    </row>
    <row r="50" spans="1:16" ht="15" customHeight="1" x14ac:dyDescent="0.3">
      <c r="A50" s="162"/>
      <c r="B50" s="162"/>
      <c r="C50" s="162"/>
      <c r="D50" s="162"/>
      <c r="E50" s="146"/>
      <c r="F50" s="120"/>
      <c r="G50" s="123"/>
      <c r="H50" s="124"/>
      <c r="I50" s="123"/>
      <c r="L50" s="117"/>
      <c r="M50" s="131"/>
      <c r="N50" s="131"/>
      <c r="O50" s="131"/>
      <c r="P50" s="131"/>
    </row>
    <row r="51" spans="1:16" ht="15" customHeight="1" thickBot="1" x14ac:dyDescent="0.35">
      <c r="A51" s="515" t="s">
        <v>226</v>
      </c>
      <c r="B51" s="515"/>
      <c r="C51" s="515"/>
      <c r="D51" s="515"/>
      <c r="E51" s="515"/>
      <c r="F51" s="120"/>
      <c r="G51" s="123"/>
      <c r="H51" s="124"/>
      <c r="I51" s="123"/>
      <c r="L51" s="117"/>
      <c r="M51" s="131"/>
      <c r="N51" s="131"/>
      <c r="O51" s="131"/>
      <c r="P51" s="131"/>
    </row>
    <row r="52" spans="1:16" ht="15" customHeight="1" x14ac:dyDescent="0.3">
      <c r="A52" s="525" t="s">
        <v>237</v>
      </c>
      <c r="B52" s="525"/>
      <c r="C52" s="525"/>
      <c r="D52" s="525"/>
      <c r="E52" s="163">
        <v>70347.62</v>
      </c>
      <c r="F52" s="120"/>
      <c r="G52" s="123"/>
      <c r="H52" s="136" t="s">
        <v>165</v>
      </c>
      <c r="I52" s="123"/>
      <c r="K52" s="131"/>
      <c r="L52" s="131"/>
      <c r="M52" s="131"/>
      <c r="N52" s="131"/>
      <c r="O52" s="131"/>
      <c r="P52" s="131"/>
    </row>
    <row r="53" spans="1:16" ht="15" customHeight="1" x14ac:dyDescent="0.3">
      <c r="A53" s="526" t="s">
        <v>15</v>
      </c>
      <c r="B53" s="526"/>
      <c r="C53" s="526"/>
      <c r="D53" s="526"/>
      <c r="E53" s="151" t="s">
        <v>318</v>
      </c>
      <c r="F53" s="134"/>
      <c r="G53" s="123"/>
      <c r="H53" s="142"/>
      <c r="I53" s="123"/>
      <c r="K53" s="131"/>
      <c r="L53" s="131"/>
      <c r="M53" s="131"/>
      <c r="N53" s="131"/>
      <c r="O53" s="131"/>
      <c r="P53" s="131"/>
    </row>
    <row r="54" spans="1:16" ht="15" customHeight="1" x14ac:dyDescent="0.3">
      <c r="A54" s="527" t="s">
        <v>19</v>
      </c>
      <c r="B54" s="527"/>
      <c r="C54" s="527"/>
      <c r="D54" s="527"/>
      <c r="E54" s="152">
        <v>1002.09263</v>
      </c>
      <c r="F54" s="134"/>
      <c r="G54" s="123"/>
      <c r="H54" s="136" t="s">
        <v>166</v>
      </c>
      <c r="I54" s="123"/>
      <c r="K54" s="131"/>
      <c r="L54" s="131"/>
      <c r="M54" s="131"/>
      <c r="N54" s="131"/>
      <c r="O54" s="131"/>
      <c r="P54" s="131"/>
    </row>
    <row r="55" spans="1:16" ht="15" customHeight="1" x14ac:dyDescent="0.3">
      <c r="A55" s="524" t="s">
        <v>20</v>
      </c>
      <c r="B55" s="524"/>
      <c r="C55" s="524"/>
      <c r="D55" s="524"/>
      <c r="E55" s="164">
        <v>71174709</v>
      </c>
      <c r="F55" s="120"/>
      <c r="G55" s="123"/>
      <c r="H55" s="136" t="s">
        <v>86</v>
      </c>
      <c r="I55" s="123"/>
      <c r="K55" s="131"/>
      <c r="L55" s="131"/>
      <c r="M55" s="131"/>
      <c r="N55" s="131"/>
      <c r="O55" s="131"/>
      <c r="P55" s="131"/>
    </row>
    <row r="56" spans="1:16" ht="15" customHeight="1" thickBot="1" x14ac:dyDescent="0.35">
      <c r="A56" s="519" t="s">
        <v>211</v>
      </c>
      <c r="B56" s="519"/>
      <c r="C56" s="519"/>
      <c r="D56" s="519"/>
      <c r="E56" s="165">
        <v>940341</v>
      </c>
      <c r="F56" s="120"/>
      <c r="G56" s="123"/>
      <c r="H56" s="136" t="s">
        <v>184</v>
      </c>
      <c r="I56" s="123"/>
      <c r="K56" s="131"/>
      <c r="L56" s="131"/>
      <c r="M56" s="131"/>
      <c r="N56" s="131"/>
      <c r="O56" s="131"/>
      <c r="P56" s="131"/>
    </row>
    <row r="57" spans="1:16" ht="15" customHeight="1" x14ac:dyDescent="0.3">
      <c r="A57" s="166"/>
      <c r="B57" s="166"/>
      <c r="C57" s="166"/>
      <c r="D57" s="166"/>
      <c r="E57" s="156"/>
      <c r="F57" s="120"/>
      <c r="G57" s="123"/>
      <c r="H57" s="124"/>
      <c r="I57" s="123"/>
      <c r="J57" s="118"/>
      <c r="K57" s="131"/>
      <c r="L57" s="398"/>
      <c r="M57" s="131"/>
      <c r="N57" s="131"/>
      <c r="O57" s="131"/>
      <c r="P57" s="131"/>
    </row>
    <row r="58" spans="1:16" ht="15" customHeight="1" x14ac:dyDescent="0.3">
      <c r="A58" s="121"/>
      <c r="B58" s="121"/>
      <c r="C58" s="121"/>
      <c r="D58" s="121"/>
      <c r="E58" s="153"/>
      <c r="F58" s="120"/>
      <c r="G58" s="123"/>
      <c r="H58" s="124"/>
      <c r="I58" s="123"/>
      <c r="J58" s="118"/>
      <c r="K58" s="131"/>
      <c r="L58" s="398"/>
      <c r="M58" s="131"/>
      <c r="N58" s="131"/>
      <c r="O58" s="131"/>
      <c r="P58" s="131"/>
    </row>
    <row r="59" spans="1:16" ht="15" customHeight="1" x14ac:dyDescent="0.3">
      <c r="A59" s="121"/>
      <c r="B59" s="121"/>
      <c r="C59" s="121"/>
      <c r="D59" s="121"/>
      <c r="E59" s="153"/>
      <c r="F59" s="120"/>
      <c r="G59" s="123"/>
      <c r="H59" s="124"/>
      <c r="I59" s="123"/>
      <c r="J59" s="118"/>
      <c r="K59" s="131"/>
      <c r="L59" s="398"/>
      <c r="M59" s="131"/>
      <c r="N59" s="131"/>
      <c r="O59" s="131"/>
      <c r="P59" s="131"/>
    </row>
    <row r="60" spans="1:16" ht="14" thickBot="1" x14ac:dyDescent="0.35">
      <c r="A60" s="515" t="s">
        <v>50</v>
      </c>
      <c r="B60" s="515"/>
      <c r="C60" s="515"/>
      <c r="D60" s="515"/>
      <c r="E60" s="515"/>
      <c r="F60" s="120"/>
      <c r="G60" s="123"/>
      <c r="H60" s="124"/>
      <c r="I60" s="123"/>
      <c r="L60" s="398"/>
      <c r="M60" s="117"/>
      <c r="N60" s="131"/>
      <c r="O60" s="131"/>
      <c r="P60" s="131"/>
    </row>
    <row r="61" spans="1:16" ht="43.5" customHeight="1" x14ac:dyDescent="0.3">
      <c r="A61" s="167"/>
      <c r="B61" s="168"/>
      <c r="C61" s="169" t="s">
        <v>208</v>
      </c>
      <c r="D61" s="169" t="s">
        <v>198</v>
      </c>
      <c r="E61" s="170" t="s">
        <v>264</v>
      </c>
      <c r="F61" s="120"/>
      <c r="G61" s="123"/>
      <c r="H61" s="124"/>
      <c r="I61" s="123"/>
      <c r="L61" s="398"/>
      <c r="M61" s="117"/>
      <c r="N61" s="117"/>
      <c r="O61" s="117"/>
      <c r="P61" s="131"/>
    </row>
    <row r="62" spans="1:16" ht="15" customHeight="1" x14ac:dyDescent="0.3">
      <c r="A62" s="512" t="s">
        <v>209</v>
      </c>
      <c r="B62" s="512"/>
      <c r="C62" s="512"/>
      <c r="D62" s="477">
        <v>2</v>
      </c>
      <c r="E62" s="481">
        <v>72063</v>
      </c>
      <c r="F62" s="134"/>
      <c r="G62" s="123"/>
      <c r="H62" s="136" t="s">
        <v>80</v>
      </c>
      <c r="I62" s="123"/>
      <c r="J62" s="131"/>
      <c r="K62" s="131"/>
      <c r="L62" s="131"/>
      <c r="M62" s="117"/>
      <c r="N62" s="117"/>
      <c r="O62" s="117"/>
      <c r="P62" s="131"/>
    </row>
    <row r="63" spans="1:16" ht="15" customHeight="1" x14ac:dyDescent="0.3">
      <c r="A63" s="522" t="s">
        <v>210</v>
      </c>
      <c r="B63" s="522"/>
      <c r="C63" s="522"/>
      <c r="D63" s="479">
        <v>1</v>
      </c>
      <c r="E63" s="482">
        <v>116215</v>
      </c>
      <c r="F63" s="134"/>
      <c r="G63" s="123"/>
      <c r="H63" s="136" t="s">
        <v>81</v>
      </c>
      <c r="I63" s="123"/>
      <c r="J63" s="131"/>
      <c r="K63" s="131"/>
      <c r="L63" s="131"/>
      <c r="M63" s="117"/>
      <c r="N63" s="117"/>
      <c r="O63" s="117"/>
      <c r="P63" s="131"/>
    </row>
    <row r="64" spans="1:16" ht="15" customHeight="1" x14ac:dyDescent="0.3">
      <c r="A64" s="477"/>
      <c r="B64" s="477"/>
      <c r="C64" s="477"/>
      <c r="D64" s="477"/>
      <c r="E64" s="481"/>
      <c r="F64" s="134"/>
      <c r="G64" s="123"/>
      <c r="H64" s="142"/>
      <c r="I64" s="123"/>
      <c r="J64" s="131"/>
      <c r="K64" s="131"/>
      <c r="L64" s="131"/>
      <c r="M64" s="117"/>
      <c r="N64" s="117"/>
      <c r="O64" s="117"/>
      <c r="P64" s="131"/>
    </row>
    <row r="65" spans="1:18" ht="15" customHeight="1" x14ac:dyDescent="0.3">
      <c r="A65" s="512" t="s">
        <v>104</v>
      </c>
      <c r="B65" s="512"/>
      <c r="C65" s="512"/>
      <c r="D65" s="512"/>
      <c r="E65" s="133">
        <v>260341</v>
      </c>
      <c r="F65" s="134"/>
      <c r="G65" s="123"/>
      <c r="H65" s="136" t="s">
        <v>107</v>
      </c>
      <c r="I65" s="123"/>
      <c r="J65" s="131"/>
      <c r="K65" s="131"/>
      <c r="L65" s="131"/>
      <c r="M65" s="117"/>
      <c r="N65" s="117"/>
      <c r="O65" s="117"/>
      <c r="P65" s="131"/>
    </row>
    <row r="66" spans="1:18" ht="15" customHeight="1" x14ac:dyDescent="0.3">
      <c r="A66" s="513" t="s">
        <v>205</v>
      </c>
      <c r="B66" s="513"/>
      <c r="C66" s="513"/>
      <c r="D66" s="513"/>
      <c r="E66" s="481">
        <v>1255221</v>
      </c>
      <c r="F66" s="134"/>
      <c r="G66" s="123"/>
      <c r="H66" s="136" t="s">
        <v>82</v>
      </c>
      <c r="I66" s="123"/>
      <c r="J66" s="131"/>
      <c r="K66" s="131"/>
      <c r="L66" s="131"/>
      <c r="M66" s="117"/>
      <c r="N66" s="131"/>
      <c r="O66" s="131"/>
      <c r="P66" s="131"/>
    </row>
    <row r="67" spans="1:18" ht="15" customHeight="1" x14ac:dyDescent="0.3">
      <c r="A67" s="520" t="s">
        <v>105</v>
      </c>
      <c r="B67" s="520"/>
      <c r="C67" s="520"/>
      <c r="D67" s="520"/>
      <c r="E67" s="171">
        <v>0.207406504511954</v>
      </c>
      <c r="F67" s="172"/>
      <c r="G67" s="147"/>
      <c r="H67" s="136" t="s">
        <v>178</v>
      </c>
      <c r="I67" s="147"/>
      <c r="J67" s="131"/>
      <c r="K67" s="131"/>
      <c r="M67" s="115"/>
    </row>
    <row r="68" spans="1:18" ht="15" customHeight="1" x14ac:dyDescent="0.3">
      <c r="A68" s="514" t="s">
        <v>236</v>
      </c>
      <c r="B68" s="514"/>
      <c r="C68" s="514"/>
      <c r="D68" s="514"/>
      <c r="E68" s="151">
        <v>1197345.8400000001</v>
      </c>
      <c r="F68" s="134"/>
      <c r="G68" s="123"/>
      <c r="H68" s="136" t="s">
        <v>21</v>
      </c>
      <c r="I68" s="123"/>
      <c r="J68" s="131"/>
      <c r="K68" s="131"/>
      <c r="M68" s="117"/>
      <c r="N68" s="117"/>
      <c r="O68" s="117"/>
      <c r="R68" s="173"/>
    </row>
    <row r="69" spans="1:18" ht="15" customHeight="1" x14ac:dyDescent="0.3">
      <c r="A69" s="514" t="s">
        <v>15</v>
      </c>
      <c r="B69" s="514"/>
      <c r="C69" s="514"/>
      <c r="D69" s="514"/>
      <c r="E69" s="151" t="s">
        <v>318</v>
      </c>
      <c r="F69" s="134"/>
      <c r="G69" s="123"/>
      <c r="H69" s="142"/>
      <c r="I69" s="123"/>
      <c r="J69" s="131"/>
      <c r="K69" s="131"/>
      <c r="L69" s="137"/>
      <c r="M69" s="115"/>
      <c r="N69" s="117"/>
      <c r="O69" s="117"/>
      <c r="R69" s="173"/>
    </row>
    <row r="70" spans="1:18" ht="15" customHeight="1" x14ac:dyDescent="0.3">
      <c r="A70" s="521" t="s">
        <v>18</v>
      </c>
      <c r="B70" s="521"/>
      <c r="C70" s="521"/>
      <c r="D70" s="521"/>
      <c r="E70" s="145">
        <v>251259.52807051199</v>
      </c>
      <c r="F70" s="134"/>
      <c r="G70" s="123"/>
      <c r="H70" s="136" t="s">
        <v>179</v>
      </c>
      <c r="I70" s="123"/>
      <c r="J70" s="142"/>
      <c r="K70" s="131"/>
      <c r="L70" s="137"/>
      <c r="M70" s="115"/>
      <c r="N70" s="117"/>
      <c r="O70" s="117"/>
      <c r="R70" s="173"/>
    </row>
    <row r="71" spans="1:18" ht="15" customHeight="1" x14ac:dyDescent="0.3">
      <c r="A71" s="529" t="s">
        <v>19</v>
      </c>
      <c r="B71" s="529"/>
      <c r="C71" s="529"/>
      <c r="D71" s="529"/>
      <c r="E71" s="151">
        <v>157.58557999999999</v>
      </c>
      <c r="F71" s="134"/>
      <c r="G71" s="123"/>
      <c r="H71" s="136" t="s">
        <v>83</v>
      </c>
      <c r="I71" s="123"/>
      <c r="J71" s="118"/>
      <c r="K71" s="131"/>
    </row>
    <row r="72" spans="1:18" ht="15" customHeight="1" x14ac:dyDescent="0.3">
      <c r="A72" s="530" t="s">
        <v>106</v>
      </c>
      <c r="B72" s="530"/>
      <c r="C72" s="530"/>
      <c r="D72" s="530"/>
      <c r="E72" s="481">
        <v>1000</v>
      </c>
      <c r="F72" s="134"/>
      <c r="G72" s="123"/>
      <c r="H72" s="142"/>
      <c r="L72" s="131"/>
      <c r="M72" s="131"/>
      <c r="N72" s="131"/>
    </row>
    <row r="73" spans="1:18" ht="15" customHeight="1" x14ac:dyDescent="0.3">
      <c r="A73" s="531" t="s">
        <v>244</v>
      </c>
      <c r="B73" s="531"/>
      <c r="C73" s="531"/>
      <c r="D73" s="531"/>
      <c r="E73" s="482">
        <v>39977048</v>
      </c>
      <c r="F73" s="134"/>
      <c r="G73" s="123"/>
      <c r="H73" s="136" t="s">
        <v>185</v>
      </c>
      <c r="I73" s="123"/>
      <c r="J73" s="131"/>
      <c r="K73" s="131"/>
      <c r="L73" s="131"/>
      <c r="M73" s="131"/>
      <c r="N73" s="131"/>
    </row>
    <row r="74" spans="1:18" ht="15" customHeight="1" x14ac:dyDescent="0.3">
      <c r="A74" s="523" t="s">
        <v>20</v>
      </c>
      <c r="B74" s="523"/>
      <c r="C74" s="523"/>
      <c r="D74" s="523"/>
      <c r="E74" s="480">
        <v>39723331</v>
      </c>
      <c r="F74" s="134"/>
      <c r="G74" s="123"/>
      <c r="H74" s="136" t="s">
        <v>87</v>
      </c>
      <c r="I74" s="123"/>
      <c r="K74" s="131"/>
      <c r="L74" s="131"/>
      <c r="M74" s="131"/>
      <c r="N74" s="15"/>
      <c r="O74" s="113"/>
    </row>
    <row r="75" spans="1:18" ht="15" customHeight="1" thickBot="1" x14ac:dyDescent="0.35">
      <c r="A75" s="519" t="s">
        <v>211</v>
      </c>
      <c r="B75" s="519"/>
      <c r="C75" s="519"/>
      <c r="D75" s="519"/>
      <c r="E75" s="154">
        <v>2290466</v>
      </c>
      <c r="F75" s="134"/>
      <c r="G75" s="123"/>
      <c r="H75" s="136" t="s">
        <v>186</v>
      </c>
      <c r="I75" s="123"/>
      <c r="K75" s="131"/>
      <c r="L75" s="131"/>
      <c r="M75" s="131"/>
      <c r="N75" s="131"/>
    </row>
    <row r="76" spans="1:18" ht="15" customHeight="1" x14ac:dyDescent="0.3">
      <c r="A76" s="155"/>
      <c r="B76" s="155"/>
      <c r="C76" s="155"/>
      <c r="D76" s="155"/>
      <c r="E76" s="156"/>
      <c r="F76" s="120"/>
      <c r="G76" s="123"/>
      <c r="H76" s="142"/>
      <c r="I76" s="123"/>
      <c r="J76" s="118"/>
      <c r="K76" s="131"/>
      <c r="L76" s="398"/>
      <c r="M76" s="131"/>
      <c r="N76" s="131"/>
    </row>
    <row r="77" spans="1:18" ht="15" customHeight="1" x14ac:dyDescent="0.3">
      <c r="A77" s="138" t="s">
        <v>255</v>
      </c>
      <c r="B77" s="138"/>
      <c r="C77" s="138"/>
      <c r="D77" s="138"/>
      <c r="E77" s="153"/>
      <c r="F77" s="120"/>
      <c r="G77" s="123"/>
      <c r="H77" s="142"/>
      <c r="I77" s="123"/>
      <c r="J77" s="118"/>
      <c r="K77" s="131"/>
      <c r="L77" s="398"/>
      <c r="M77" s="131"/>
      <c r="N77" s="131"/>
    </row>
    <row r="78" spans="1:18" ht="15" customHeight="1" x14ac:dyDescent="0.3">
      <c r="A78" s="138" t="s">
        <v>273</v>
      </c>
      <c r="B78" s="138"/>
      <c r="C78" s="138"/>
      <c r="D78" s="138"/>
      <c r="E78" s="153"/>
      <c r="F78" s="120"/>
      <c r="G78" s="123"/>
      <c r="H78" s="142"/>
      <c r="I78" s="123"/>
      <c r="J78" s="118"/>
      <c r="K78" s="131"/>
      <c r="L78" s="398"/>
      <c r="M78" s="131"/>
      <c r="N78" s="131"/>
    </row>
    <row r="79" spans="1:18" ht="15" customHeight="1" x14ac:dyDescent="0.3">
      <c r="A79" s="121"/>
      <c r="B79" s="121"/>
      <c r="C79" s="121"/>
      <c r="D79" s="121"/>
      <c r="E79" s="153"/>
      <c r="F79" s="120"/>
      <c r="G79" s="123"/>
      <c r="H79" s="124"/>
      <c r="I79" s="123"/>
      <c r="J79" s="118"/>
      <c r="K79" s="131"/>
      <c r="L79" s="135"/>
    </row>
    <row r="80" spans="1:18" ht="15" hidden="1" customHeight="1" x14ac:dyDescent="0.3">
      <c r="A80" s="121"/>
      <c r="B80" s="121"/>
      <c r="C80" s="121"/>
      <c r="D80" s="121"/>
      <c r="E80" s="174" t="s">
        <v>56</v>
      </c>
      <c r="F80" s="120"/>
      <c r="G80" s="123"/>
      <c r="H80" s="124"/>
      <c r="I80" s="123"/>
      <c r="J80" s="118"/>
      <c r="K80" s="131"/>
      <c r="L80" s="135"/>
    </row>
    <row r="81" spans="1:36" ht="15" customHeight="1" x14ac:dyDescent="0.3">
      <c r="A81" s="121"/>
      <c r="B81" s="121"/>
      <c r="C81" s="121"/>
      <c r="D81" s="121"/>
      <c r="E81" s="153"/>
      <c r="F81" s="120"/>
      <c r="G81" s="123"/>
      <c r="H81" s="124"/>
      <c r="I81" s="123"/>
      <c r="J81" s="118"/>
      <c r="K81" s="131"/>
      <c r="L81" s="135"/>
    </row>
    <row r="82" spans="1:36" ht="15" customHeight="1" x14ac:dyDescent="0.3">
      <c r="A82" s="121"/>
      <c r="B82" s="121"/>
      <c r="C82" s="121"/>
      <c r="D82" s="121"/>
      <c r="E82" s="153"/>
      <c r="F82" s="120"/>
      <c r="G82" s="123"/>
      <c r="H82" s="124"/>
      <c r="I82" s="123"/>
      <c r="J82" s="118"/>
      <c r="K82" s="131"/>
      <c r="L82" s="135"/>
    </row>
    <row r="83" spans="1:36" s="7" customFormat="1" x14ac:dyDescent="0.3">
      <c r="A83" s="113"/>
      <c r="B83" s="113"/>
      <c r="C83" s="113"/>
      <c r="D83" s="113"/>
      <c r="E83" s="113"/>
      <c r="F83" s="113"/>
      <c r="G83" s="175"/>
      <c r="H83" s="176"/>
      <c r="I83" s="175"/>
      <c r="J83" s="175"/>
      <c r="K83" s="42"/>
      <c r="L83" s="175"/>
      <c r="M83" s="175"/>
      <c r="O83" s="113"/>
      <c r="P83" s="113"/>
    </row>
    <row r="84" spans="1:36" x14ac:dyDescent="0.3">
      <c r="A84" s="117"/>
      <c r="B84" s="117"/>
      <c r="C84" s="117"/>
      <c r="D84" s="117"/>
      <c r="H84" s="111"/>
      <c r="L84" s="117"/>
      <c r="AI84" s="7"/>
      <c r="AJ84" s="7"/>
    </row>
    <row r="85" spans="1:36" x14ac:dyDescent="0.3">
      <c r="G85" s="117"/>
      <c r="H85" s="177"/>
      <c r="I85" s="117"/>
      <c r="L85" s="131"/>
      <c r="M85" s="131"/>
      <c r="N85" s="131"/>
      <c r="O85" s="131"/>
      <c r="P85" s="117"/>
      <c r="AG85" s="117"/>
    </row>
    <row r="86" spans="1:36" x14ac:dyDescent="0.3">
      <c r="H86" s="111"/>
      <c r="L86" s="117"/>
      <c r="Y86" s="117"/>
    </row>
    <row r="87" spans="1:36" x14ac:dyDescent="0.3">
      <c r="A87" s="117"/>
      <c r="B87" s="117"/>
      <c r="C87" s="117"/>
      <c r="D87" s="117"/>
      <c r="I87" s="117"/>
    </row>
    <row r="88" spans="1:36" x14ac:dyDescent="0.3">
      <c r="P88" s="117"/>
      <c r="X88" s="117"/>
    </row>
    <row r="89" spans="1:36" x14ac:dyDescent="0.3">
      <c r="I89" s="117"/>
    </row>
    <row r="90" spans="1:36" x14ac:dyDescent="0.3">
      <c r="P90" s="117"/>
      <c r="X90" s="117"/>
    </row>
    <row r="91" spans="1:36" x14ac:dyDescent="0.3">
      <c r="A91" s="117"/>
      <c r="B91" s="117"/>
      <c r="C91" s="117"/>
      <c r="D91" s="117"/>
      <c r="I91" s="117"/>
      <c r="X91" s="117"/>
    </row>
    <row r="92" spans="1:36" x14ac:dyDescent="0.3">
      <c r="A92" s="117"/>
      <c r="B92" s="117"/>
      <c r="C92" s="117"/>
      <c r="D92" s="117"/>
    </row>
    <row r="93" spans="1:36" x14ac:dyDescent="0.3">
      <c r="I93" s="117"/>
      <c r="X93" s="117"/>
    </row>
    <row r="94" spans="1:36" x14ac:dyDescent="0.3">
      <c r="A94" s="117"/>
      <c r="B94" s="117"/>
      <c r="C94" s="117"/>
      <c r="D94" s="117"/>
    </row>
  </sheetData>
  <mergeCells count="42">
    <mergeCell ref="A1:F1"/>
    <mergeCell ref="A71:D71"/>
    <mergeCell ref="A72:D72"/>
    <mergeCell ref="A73:D73"/>
    <mergeCell ref="A27:E27"/>
    <mergeCell ref="A40:D40"/>
    <mergeCell ref="A41:D41"/>
    <mergeCell ref="A42:D42"/>
    <mergeCell ref="A43:D43"/>
    <mergeCell ref="A44:D44"/>
    <mergeCell ref="A45:D45"/>
    <mergeCell ref="A20:D20"/>
    <mergeCell ref="A21:D21"/>
    <mergeCell ref="A22:D22"/>
    <mergeCell ref="A23:D23"/>
    <mergeCell ref="A55:D55"/>
    <mergeCell ref="A56:D56"/>
    <mergeCell ref="A51:E51"/>
    <mergeCell ref="A46:D46"/>
    <mergeCell ref="A47:D47"/>
    <mergeCell ref="A52:D52"/>
    <mergeCell ref="A53:D53"/>
    <mergeCell ref="A54:D54"/>
    <mergeCell ref="A75:D75"/>
    <mergeCell ref="A60:E60"/>
    <mergeCell ref="A65:D65"/>
    <mergeCell ref="A66:D66"/>
    <mergeCell ref="A67:D67"/>
    <mergeCell ref="A68:D68"/>
    <mergeCell ref="A69:D69"/>
    <mergeCell ref="A70:D70"/>
    <mergeCell ref="A62:C62"/>
    <mergeCell ref="A63:C63"/>
    <mergeCell ref="A74:D74"/>
    <mergeCell ref="A38:D38"/>
    <mergeCell ref="A39:D39"/>
    <mergeCell ref="A19:D19"/>
    <mergeCell ref="A4:E4"/>
    <mergeCell ref="A15:D15"/>
    <mergeCell ref="A16:D16"/>
    <mergeCell ref="A17:D17"/>
    <mergeCell ref="A18:D18"/>
  </mergeCells>
  <phoneticPr fontId="4" type="noConversion"/>
  <conditionalFormatting sqref="E6:F23 E29:F47 E52:F56 E62:F75">
    <cfRule type="cellIs" dxfId="8" priority="1" operator="equal">
      <formula>0</formula>
    </cfRule>
  </conditionalFormatting>
  <pageMargins left="0.70866141732283472" right="0.70866141732283472" top="0.74803149606299213" bottom="0.74803149606299213" header="0.31496062992125984" footer="0.31496062992125984"/>
  <pageSetup paperSize="9" scale="70" fitToHeight="2" orientation="landscape" r:id="rId1"/>
  <headerFooter>
    <oddHeader>&amp;CPage &amp;P&amp;R&amp;F</oddHeader>
  </headerFooter>
  <rowBreaks count="1" manualBreakCount="1">
    <brk id="3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6" tint="0.39997558519241921"/>
    <pageSetUpPr fitToPage="1"/>
  </sheetPr>
  <dimension ref="A1:K12"/>
  <sheetViews>
    <sheetView showGridLines="0" workbookViewId="0">
      <pane xSplit="1" ySplit="6" topLeftCell="B7" activePane="bottomRight" state="frozen"/>
      <selection sqref="A1:J1"/>
      <selection pane="topRight" sqref="A1:J1"/>
      <selection pane="bottomLeft" sqref="A1:J1"/>
      <selection pane="bottomRight" sqref="A1:J1"/>
    </sheetView>
  </sheetViews>
  <sheetFormatPr defaultColWidth="9.1796875" defaultRowHeight="13.5" x14ac:dyDescent="0.3"/>
  <cols>
    <col min="1" max="1" width="52.26953125" style="7" customWidth="1"/>
    <col min="2" max="2" width="11.26953125" style="7" customWidth="1"/>
    <col min="3" max="3" width="11" style="7" customWidth="1"/>
    <col min="4" max="4" width="10.1796875" style="7" customWidth="1"/>
    <col min="5" max="5" width="10.90625" style="7" customWidth="1"/>
    <col min="6" max="6" width="14" style="7" customWidth="1"/>
    <col min="7" max="7" width="15.453125" style="7" customWidth="1"/>
    <col min="8" max="8" width="9.1796875" style="7"/>
    <col min="9" max="9" width="11.54296875" style="7" hidden="1" customWidth="1"/>
    <col min="10" max="11" width="9.1796875" style="7" customWidth="1"/>
    <col min="12" max="16384" width="9.1796875" style="7"/>
  </cols>
  <sheetData>
    <row r="1" spans="1:11" ht="15.75" customHeight="1" x14ac:dyDescent="0.3">
      <c r="A1" s="510" t="str">
        <f>'A Summary'!J8</f>
        <v xml:space="preserve">Sector summary of all providers </v>
      </c>
      <c r="B1" s="510"/>
      <c r="C1" s="510"/>
      <c r="D1" s="510"/>
      <c r="E1" s="510"/>
      <c r="G1" s="61"/>
      <c r="K1" s="15"/>
    </row>
    <row r="2" spans="1:11" x14ac:dyDescent="0.3">
      <c r="B2" s="8"/>
      <c r="C2" s="8"/>
      <c r="K2" s="15"/>
    </row>
    <row r="3" spans="1:11" ht="22.65" customHeight="1" thickBot="1" x14ac:dyDescent="0.35">
      <c r="A3" s="62" t="s">
        <v>239</v>
      </c>
      <c r="E3" s="15"/>
      <c r="F3" s="15"/>
      <c r="G3" s="15"/>
      <c r="H3" s="15"/>
      <c r="K3" s="8"/>
    </row>
    <row r="4" spans="1:11" ht="43.5" customHeight="1" x14ac:dyDescent="0.3">
      <c r="A4" s="63"/>
      <c r="B4" s="542" t="s">
        <v>270</v>
      </c>
      <c r="C4" s="543"/>
      <c r="D4" s="543"/>
      <c r="E4" s="544"/>
      <c r="F4" s="545" t="s">
        <v>115</v>
      </c>
      <c r="G4" s="535" t="s">
        <v>116</v>
      </c>
    </row>
    <row r="5" spans="1:11" x14ac:dyDescent="0.3">
      <c r="A5" s="113"/>
      <c r="B5" s="538" t="s">
        <v>217</v>
      </c>
      <c r="C5" s="539"/>
      <c r="D5" s="540" t="s">
        <v>114</v>
      </c>
      <c r="E5" s="541"/>
      <c r="F5" s="546"/>
      <c r="G5" s="536"/>
    </row>
    <row r="6" spans="1:11" ht="27" x14ac:dyDescent="0.3">
      <c r="A6" s="178" t="s">
        <v>111</v>
      </c>
      <c r="B6" s="494" t="s">
        <v>240</v>
      </c>
      <c r="C6" s="493" t="s">
        <v>110</v>
      </c>
      <c r="D6" s="179" t="s">
        <v>240</v>
      </c>
      <c r="E6" s="180" t="s">
        <v>110</v>
      </c>
      <c r="F6" s="547"/>
      <c r="G6" s="537"/>
      <c r="I6" s="181" t="s">
        <v>118</v>
      </c>
    </row>
    <row r="7" spans="1:11" ht="15" customHeight="1" x14ac:dyDescent="0.3">
      <c r="A7" s="182" t="s">
        <v>112</v>
      </c>
      <c r="B7" s="183">
        <v>5362</v>
      </c>
      <c r="C7" s="184">
        <v>50</v>
      </c>
      <c r="D7" s="185">
        <v>2206</v>
      </c>
      <c r="E7" s="186">
        <v>7</v>
      </c>
      <c r="F7" s="183">
        <v>7625</v>
      </c>
      <c r="G7" s="184">
        <v>17651875</v>
      </c>
      <c r="I7" s="25" t="s">
        <v>119</v>
      </c>
    </row>
    <row r="8" spans="1:11" ht="15" customHeight="1" thickBot="1" x14ac:dyDescent="0.35">
      <c r="A8" s="187" t="s">
        <v>113</v>
      </c>
      <c r="B8" s="188">
        <v>5126</v>
      </c>
      <c r="C8" s="189">
        <v>131</v>
      </c>
      <c r="D8" s="422">
        <v>0</v>
      </c>
      <c r="E8" s="423">
        <v>0</v>
      </c>
      <c r="F8" s="188">
        <v>5257</v>
      </c>
      <c r="G8" s="189">
        <v>12169955</v>
      </c>
      <c r="I8" s="25" t="s">
        <v>120</v>
      </c>
    </row>
    <row r="9" spans="1:11" ht="15" customHeight="1" thickTop="1" thickBot="1" x14ac:dyDescent="0.35">
      <c r="A9" s="190" t="s">
        <v>3</v>
      </c>
      <c r="B9" s="191">
        <f>SUM(B7:B8)</f>
        <v>10488</v>
      </c>
      <c r="C9" s="192">
        <f t="shared" ref="C9:G9" si="0">SUM(C7:C8)</f>
        <v>181</v>
      </c>
      <c r="D9" s="193">
        <f>D7</f>
        <v>2206</v>
      </c>
      <c r="E9" s="194">
        <f>E7</f>
        <v>7</v>
      </c>
      <c r="F9" s="191">
        <f t="shared" si="0"/>
        <v>12882</v>
      </c>
      <c r="G9" s="192">
        <f t="shared" si="0"/>
        <v>29821830</v>
      </c>
    </row>
    <row r="11" spans="1:11" hidden="1" x14ac:dyDescent="0.3">
      <c r="A11" s="195" t="s">
        <v>152</v>
      </c>
      <c r="B11" s="112" t="s">
        <v>2</v>
      </c>
      <c r="C11" s="112" t="s">
        <v>2</v>
      </c>
      <c r="D11" s="112" t="s">
        <v>14</v>
      </c>
      <c r="E11" s="112" t="s">
        <v>14</v>
      </c>
      <c r="F11" s="112" t="s">
        <v>153</v>
      </c>
      <c r="G11" s="112" t="s">
        <v>153</v>
      </c>
    </row>
    <row r="12" spans="1:11" hidden="1" x14ac:dyDescent="0.3">
      <c r="B12" s="112" t="s">
        <v>43</v>
      </c>
      <c r="C12" s="112" t="s">
        <v>154</v>
      </c>
      <c r="D12" s="112" t="s">
        <v>43</v>
      </c>
      <c r="E12" s="112" t="s">
        <v>154</v>
      </c>
      <c r="F12" s="112" t="s">
        <v>271</v>
      </c>
      <c r="G12" s="112" t="s">
        <v>272</v>
      </c>
    </row>
  </sheetData>
  <mergeCells count="6">
    <mergeCell ref="G4:G6"/>
    <mergeCell ref="A1:E1"/>
    <mergeCell ref="B5:C5"/>
    <mergeCell ref="D5:E5"/>
    <mergeCell ref="B4:E4"/>
    <mergeCell ref="F4:F6"/>
  </mergeCells>
  <conditionalFormatting sqref="B7:C9 D7:G7 D9:G9 F8:G8">
    <cfRule type="cellIs" dxfId="7" priority="1" operator="equal">
      <formula>0</formula>
    </cfRule>
  </conditionalFormatting>
  <pageMargins left="0.70866141732283472" right="0.70866141732283472" top="0.74803149606299213" bottom="0.74803149606299213" header="0.31496062992125984" footer="0.31496062992125984"/>
  <pageSetup paperSize="9" orientation="landscape" r:id="rId1"/>
  <headerFooter>
    <oddHeader>&amp;CPage &amp;P&amp;R&amp;F</oddHeader>
  </headerFooter>
  <ignoredErrors>
    <ignoredError sqref="A2:G2 A5:G5 B3:G3 A7:G9 A6 C6 E6:G6 A4 C4:G4 A1:F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6" tint="0.39997558519241921"/>
    <pageSetUpPr fitToPage="1"/>
  </sheetPr>
  <dimension ref="A1:S48"/>
  <sheetViews>
    <sheetView showGridLines="0" zoomScaleNormal="100" workbookViewId="0">
      <pane xSplit="2" ySplit="6" topLeftCell="C7" activePane="bottomRight" state="frozen"/>
      <selection sqref="A1:J1"/>
      <selection pane="topRight" sqref="A1:J1"/>
      <selection pane="bottomLeft" sqref="A1:J1"/>
      <selection pane="bottomRight" sqref="A1:K1"/>
    </sheetView>
  </sheetViews>
  <sheetFormatPr defaultColWidth="9.1796875" defaultRowHeight="13.5" x14ac:dyDescent="0.3"/>
  <cols>
    <col min="1" max="1" width="32.54296875" style="7" customWidth="1"/>
    <col min="2" max="2" width="18.1796875" style="7" customWidth="1"/>
    <col min="3" max="11" width="11.26953125" style="7" customWidth="1"/>
    <col min="12" max="12" width="10.54296875" style="7" customWidth="1"/>
    <col min="13" max="13" width="15.36328125" style="7" customWidth="1"/>
    <col min="14" max="14" width="9.1796875" style="7"/>
    <col min="15" max="16" width="11.1796875" style="7" hidden="1" customWidth="1"/>
    <col min="17" max="17" width="9.1796875" style="7" customWidth="1"/>
    <col min="18" max="18" width="9.1796875" style="7" hidden="1" customWidth="1"/>
    <col min="19" max="19" width="0" style="7" hidden="1" customWidth="1"/>
    <col min="20" max="16384" width="9.1796875" style="7"/>
  </cols>
  <sheetData>
    <row r="1" spans="1:19" ht="15.75" customHeight="1" x14ac:dyDescent="0.3">
      <c r="A1" s="510" t="str">
        <f>'A Summary'!J8</f>
        <v xml:space="preserve">Sector summary of all providers </v>
      </c>
      <c r="B1" s="510"/>
      <c r="C1" s="510"/>
      <c r="D1" s="510"/>
      <c r="E1" s="510"/>
      <c r="F1" s="510"/>
      <c r="G1" s="510"/>
      <c r="H1" s="510"/>
      <c r="I1" s="510"/>
      <c r="J1" s="510"/>
      <c r="K1" s="510"/>
      <c r="M1" s="61"/>
      <c r="R1" s="15"/>
    </row>
    <row r="2" spans="1:19" x14ac:dyDescent="0.3">
      <c r="M2" s="61"/>
      <c r="R2" s="15"/>
    </row>
    <row r="3" spans="1:19" ht="22.65" customHeight="1" thickBot="1" x14ac:dyDescent="0.4">
      <c r="A3" s="62" t="s">
        <v>242</v>
      </c>
      <c r="B3" s="196"/>
      <c r="C3" s="15"/>
      <c r="D3" s="15"/>
      <c r="E3" s="15"/>
      <c r="F3" s="15"/>
      <c r="G3" s="15"/>
      <c r="I3" s="15"/>
      <c r="J3" s="15"/>
      <c r="K3" s="15"/>
      <c r="L3" s="15"/>
      <c r="M3" s="15"/>
      <c r="R3" s="15"/>
    </row>
    <row r="4" spans="1:19" ht="29.25" customHeight="1" x14ac:dyDescent="0.3">
      <c r="A4" s="197"/>
      <c r="B4" s="197"/>
      <c r="C4" s="556" t="s">
        <v>265</v>
      </c>
      <c r="D4" s="557"/>
      <c r="E4" s="557"/>
      <c r="F4" s="557"/>
      <c r="G4" s="557"/>
      <c r="H4" s="558"/>
      <c r="I4" s="559" t="s">
        <v>215</v>
      </c>
      <c r="J4" s="560"/>
      <c r="K4" s="560"/>
      <c r="L4" s="560"/>
      <c r="M4" s="548" t="s">
        <v>188</v>
      </c>
      <c r="R4" s="8" t="s">
        <v>69</v>
      </c>
    </row>
    <row r="5" spans="1:19" ht="26.25" customHeight="1" x14ac:dyDescent="0.3">
      <c r="A5" s="198"/>
      <c r="B5" s="198"/>
      <c r="C5" s="551" t="s">
        <v>220</v>
      </c>
      <c r="D5" s="552"/>
      <c r="E5" s="553"/>
      <c r="F5" s="554" t="s">
        <v>221</v>
      </c>
      <c r="G5" s="555"/>
      <c r="H5" s="553"/>
      <c r="I5" s="561"/>
      <c r="J5" s="562"/>
      <c r="K5" s="562"/>
      <c r="L5" s="562"/>
      <c r="M5" s="549"/>
      <c r="R5" s="7" t="s">
        <v>245</v>
      </c>
    </row>
    <row r="6" spans="1:19" ht="27" x14ac:dyDescent="0.3">
      <c r="A6" s="199" t="s">
        <v>117</v>
      </c>
      <c r="B6" s="200" t="s">
        <v>5</v>
      </c>
      <c r="C6" s="494" t="s">
        <v>128</v>
      </c>
      <c r="D6" s="493" t="s">
        <v>129</v>
      </c>
      <c r="E6" s="180" t="s">
        <v>241</v>
      </c>
      <c r="F6" s="493" t="s">
        <v>128</v>
      </c>
      <c r="G6" s="493" t="s">
        <v>129</v>
      </c>
      <c r="H6" s="180" t="s">
        <v>241</v>
      </c>
      <c r="I6" s="201" t="s">
        <v>128</v>
      </c>
      <c r="J6" s="202" t="s">
        <v>129</v>
      </c>
      <c r="K6" s="202" t="s">
        <v>241</v>
      </c>
      <c r="L6" s="202" t="s">
        <v>3</v>
      </c>
      <c r="M6" s="550"/>
      <c r="O6" s="203" t="s">
        <v>133</v>
      </c>
      <c r="P6" s="203" t="s">
        <v>31</v>
      </c>
      <c r="R6" s="15"/>
    </row>
    <row r="7" spans="1:19" ht="15" customHeight="1" x14ac:dyDescent="0.3">
      <c r="A7" s="204" t="s">
        <v>121</v>
      </c>
      <c r="B7" s="205" t="s">
        <v>6</v>
      </c>
      <c r="C7" s="424">
        <v>0</v>
      </c>
      <c r="D7" s="210">
        <v>49</v>
      </c>
      <c r="E7" s="211">
        <v>75</v>
      </c>
      <c r="F7" s="430">
        <v>0</v>
      </c>
      <c r="G7" s="210">
        <v>0</v>
      </c>
      <c r="H7" s="211">
        <v>1.5</v>
      </c>
      <c r="I7" s="424">
        <v>0</v>
      </c>
      <c r="J7" s="430">
        <v>0</v>
      </c>
      <c r="K7" s="430">
        <v>0</v>
      </c>
      <c r="L7" s="430">
        <v>0</v>
      </c>
      <c r="M7" s="430">
        <v>0</v>
      </c>
      <c r="O7" s="25" t="s">
        <v>134</v>
      </c>
      <c r="P7" s="25" t="s">
        <v>6</v>
      </c>
      <c r="R7" s="15"/>
      <c r="S7" s="15"/>
    </row>
    <row r="8" spans="1:19" ht="15" customHeight="1" x14ac:dyDescent="0.3">
      <c r="A8" s="206"/>
      <c r="B8" s="207" t="str">
        <f>$R$5</f>
        <v>PGT (UG fee)</v>
      </c>
      <c r="C8" s="425">
        <v>0</v>
      </c>
      <c r="D8" s="426">
        <v>0</v>
      </c>
      <c r="E8" s="427">
        <v>0</v>
      </c>
      <c r="F8" s="426">
        <v>0</v>
      </c>
      <c r="G8" s="426">
        <v>0</v>
      </c>
      <c r="H8" s="427">
        <v>0</v>
      </c>
      <c r="I8" s="425">
        <v>0</v>
      </c>
      <c r="J8" s="426">
        <v>0</v>
      </c>
      <c r="K8" s="426">
        <v>0</v>
      </c>
      <c r="L8" s="426">
        <v>0</v>
      </c>
      <c r="M8" s="434">
        <v>0</v>
      </c>
      <c r="O8" s="25" t="s">
        <v>134</v>
      </c>
      <c r="P8" s="25" t="s">
        <v>70</v>
      </c>
      <c r="R8" s="15"/>
      <c r="S8" s="15"/>
    </row>
    <row r="9" spans="1:19" ht="15" customHeight="1" x14ac:dyDescent="0.3">
      <c r="A9" s="208" t="s">
        <v>122</v>
      </c>
      <c r="B9" s="209" t="s">
        <v>6</v>
      </c>
      <c r="C9" s="424">
        <v>0</v>
      </c>
      <c r="D9" s="210">
        <v>186</v>
      </c>
      <c r="E9" s="211">
        <v>146</v>
      </c>
      <c r="F9" s="430">
        <v>0</v>
      </c>
      <c r="G9" s="210">
        <v>0.84</v>
      </c>
      <c r="H9" s="211">
        <v>3.15</v>
      </c>
      <c r="I9" s="424">
        <v>0</v>
      </c>
      <c r="J9" s="430">
        <v>0</v>
      </c>
      <c r="K9" s="430">
        <v>0</v>
      </c>
      <c r="L9" s="430">
        <v>0</v>
      </c>
      <c r="M9" s="435">
        <v>0</v>
      </c>
      <c r="O9" s="25" t="s">
        <v>135</v>
      </c>
      <c r="P9" s="25" t="s">
        <v>6</v>
      </c>
      <c r="R9" s="15"/>
      <c r="S9" s="15"/>
    </row>
    <row r="10" spans="1:19" ht="15" customHeight="1" x14ac:dyDescent="0.3">
      <c r="A10" s="206"/>
      <c r="B10" s="207" t="str">
        <f>$R$5</f>
        <v>PGT (UG fee)</v>
      </c>
      <c r="C10" s="425">
        <v>0</v>
      </c>
      <c r="D10" s="426">
        <v>0</v>
      </c>
      <c r="E10" s="427">
        <v>0</v>
      </c>
      <c r="F10" s="426">
        <v>0</v>
      </c>
      <c r="G10" s="426">
        <v>0</v>
      </c>
      <c r="H10" s="427">
        <v>0</v>
      </c>
      <c r="I10" s="425">
        <v>0</v>
      </c>
      <c r="J10" s="426">
        <v>0</v>
      </c>
      <c r="K10" s="426">
        <v>0</v>
      </c>
      <c r="L10" s="426">
        <v>0</v>
      </c>
      <c r="M10" s="434">
        <v>0</v>
      </c>
      <c r="O10" s="25" t="s">
        <v>135</v>
      </c>
      <c r="P10" s="25" t="s">
        <v>70</v>
      </c>
      <c r="R10" s="15"/>
      <c r="S10" s="15"/>
    </row>
    <row r="11" spans="1:19" ht="15" customHeight="1" x14ac:dyDescent="0.3">
      <c r="A11" s="208" t="s">
        <v>123</v>
      </c>
      <c r="B11" s="209" t="s">
        <v>6</v>
      </c>
      <c r="C11" s="212">
        <v>207</v>
      </c>
      <c r="D11" s="210">
        <v>217</v>
      </c>
      <c r="E11" s="211">
        <v>230</v>
      </c>
      <c r="F11" s="210">
        <v>1.26</v>
      </c>
      <c r="G11" s="210">
        <v>0.4</v>
      </c>
      <c r="H11" s="211">
        <v>0.33</v>
      </c>
      <c r="I11" s="424">
        <v>0</v>
      </c>
      <c r="J11" s="430">
        <v>0</v>
      </c>
      <c r="K11" s="430">
        <v>0</v>
      </c>
      <c r="L11" s="430">
        <v>0</v>
      </c>
      <c r="M11" s="435">
        <v>0</v>
      </c>
      <c r="O11" s="25" t="s">
        <v>136</v>
      </c>
      <c r="P11" s="25" t="s">
        <v>6</v>
      </c>
      <c r="R11" s="15"/>
      <c r="S11" s="15"/>
    </row>
    <row r="12" spans="1:19" ht="15" customHeight="1" x14ac:dyDescent="0.3">
      <c r="A12" s="206"/>
      <c r="B12" s="207" t="str">
        <f>$R$5</f>
        <v>PGT (UG fee)</v>
      </c>
      <c r="C12" s="425">
        <v>0</v>
      </c>
      <c r="D12" s="213">
        <v>64</v>
      </c>
      <c r="E12" s="214">
        <v>92</v>
      </c>
      <c r="F12" s="426">
        <v>0</v>
      </c>
      <c r="G12" s="213">
        <v>0</v>
      </c>
      <c r="H12" s="214">
        <v>0.33</v>
      </c>
      <c r="I12" s="425">
        <v>0</v>
      </c>
      <c r="J12" s="213">
        <v>64</v>
      </c>
      <c r="K12" s="213">
        <v>92.33</v>
      </c>
      <c r="L12" s="213">
        <v>156.33000000000001</v>
      </c>
      <c r="M12" s="215">
        <v>109431</v>
      </c>
      <c r="O12" s="25" t="s">
        <v>136</v>
      </c>
      <c r="P12" s="25" t="s">
        <v>70</v>
      </c>
      <c r="R12" s="15"/>
      <c r="S12" s="15"/>
    </row>
    <row r="13" spans="1:19" ht="15" customHeight="1" x14ac:dyDescent="0.3">
      <c r="A13" s="208" t="s">
        <v>124</v>
      </c>
      <c r="B13" s="209" t="s">
        <v>6</v>
      </c>
      <c r="C13" s="212">
        <v>1686</v>
      </c>
      <c r="D13" s="210">
        <v>1898</v>
      </c>
      <c r="E13" s="211">
        <v>2249</v>
      </c>
      <c r="F13" s="210">
        <v>6.86</v>
      </c>
      <c r="G13" s="210">
        <v>10.74</v>
      </c>
      <c r="H13" s="211">
        <v>0</v>
      </c>
      <c r="I13" s="424">
        <v>0</v>
      </c>
      <c r="J13" s="430">
        <v>0</v>
      </c>
      <c r="K13" s="430">
        <v>0</v>
      </c>
      <c r="L13" s="430">
        <v>0</v>
      </c>
      <c r="M13" s="435">
        <v>0</v>
      </c>
      <c r="O13" s="25" t="s">
        <v>137</v>
      </c>
      <c r="P13" s="25" t="s">
        <v>6</v>
      </c>
      <c r="R13" s="15"/>
      <c r="S13" s="15"/>
    </row>
    <row r="14" spans="1:19" ht="15" customHeight="1" x14ac:dyDescent="0.3">
      <c r="A14" s="206"/>
      <c r="B14" s="207" t="str">
        <f>$R$5</f>
        <v>PGT (UG fee)</v>
      </c>
      <c r="C14" s="425">
        <v>0</v>
      </c>
      <c r="D14" s="213">
        <v>61</v>
      </c>
      <c r="E14" s="214">
        <v>60</v>
      </c>
      <c r="F14" s="426">
        <v>0</v>
      </c>
      <c r="G14" s="213">
        <v>2.33</v>
      </c>
      <c r="H14" s="214">
        <v>2</v>
      </c>
      <c r="I14" s="425">
        <v>0</v>
      </c>
      <c r="J14" s="216">
        <v>53.33</v>
      </c>
      <c r="K14" s="216">
        <v>51</v>
      </c>
      <c r="L14" s="216">
        <v>104.33</v>
      </c>
      <c r="M14" s="217">
        <v>73031</v>
      </c>
      <c r="O14" s="25" t="s">
        <v>137</v>
      </c>
      <c r="P14" s="25" t="s">
        <v>70</v>
      </c>
      <c r="R14" s="15"/>
      <c r="S14" s="15"/>
    </row>
    <row r="15" spans="1:19" ht="15" customHeight="1" x14ac:dyDescent="0.3">
      <c r="A15" s="208" t="s">
        <v>91</v>
      </c>
      <c r="B15" s="209" t="s">
        <v>6</v>
      </c>
      <c r="C15" s="212">
        <v>10265</v>
      </c>
      <c r="D15" s="210">
        <v>9341</v>
      </c>
      <c r="E15" s="211">
        <v>10939.5</v>
      </c>
      <c r="F15" s="210">
        <v>156.59</v>
      </c>
      <c r="G15" s="210">
        <v>110.76</v>
      </c>
      <c r="H15" s="211">
        <v>130.63999999999999</v>
      </c>
      <c r="I15" s="218">
        <v>10421.59</v>
      </c>
      <c r="J15" s="219">
        <v>9451.76</v>
      </c>
      <c r="K15" s="219">
        <v>11070.14</v>
      </c>
      <c r="L15" s="219">
        <v>30943.49</v>
      </c>
      <c r="M15" s="220">
        <v>6188698</v>
      </c>
      <c r="O15" s="25" t="s">
        <v>138</v>
      </c>
      <c r="P15" s="25" t="s">
        <v>6</v>
      </c>
      <c r="R15" s="15"/>
      <c r="S15" s="15"/>
    </row>
    <row r="16" spans="1:19" ht="15" customHeight="1" x14ac:dyDescent="0.3">
      <c r="A16" s="206"/>
      <c r="B16" s="207" t="str">
        <f>$R$5</f>
        <v>PGT (UG fee)</v>
      </c>
      <c r="C16" s="425">
        <v>0</v>
      </c>
      <c r="D16" s="213">
        <v>660</v>
      </c>
      <c r="E16" s="214">
        <v>504</v>
      </c>
      <c r="F16" s="426">
        <v>0</v>
      </c>
      <c r="G16" s="213">
        <v>5.39</v>
      </c>
      <c r="H16" s="214">
        <v>0.65</v>
      </c>
      <c r="I16" s="425">
        <v>0</v>
      </c>
      <c r="J16" s="216">
        <v>634.39</v>
      </c>
      <c r="K16" s="216">
        <v>482.65</v>
      </c>
      <c r="L16" s="216">
        <v>1117.04</v>
      </c>
      <c r="M16" s="217">
        <v>1005336</v>
      </c>
      <c r="O16" s="25" t="s">
        <v>138</v>
      </c>
      <c r="P16" s="25" t="s">
        <v>70</v>
      </c>
      <c r="R16" s="15"/>
      <c r="S16" s="15"/>
    </row>
    <row r="17" spans="1:19" ht="15" customHeight="1" x14ac:dyDescent="0.3">
      <c r="A17" s="208" t="s">
        <v>92</v>
      </c>
      <c r="B17" s="209" t="s">
        <v>6</v>
      </c>
      <c r="C17" s="212">
        <v>1668</v>
      </c>
      <c r="D17" s="210">
        <v>1785.5</v>
      </c>
      <c r="E17" s="211">
        <v>2266</v>
      </c>
      <c r="F17" s="210">
        <v>6.81</v>
      </c>
      <c r="G17" s="210">
        <v>12.3</v>
      </c>
      <c r="H17" s="211">
        <v>7.06</v>
      </c>
      <c r="I17" s="218">
        <v>1674.81</v>
      </c>
      <c r="J17" s="219">
        <v>1797.8</v>
      </c>
      <c r="K17" s="219">
        <v>2273.06</v>
      </c>
      <c r="L17" s="219">
        <v>5745.67</v>
      </c>
      <c r="M17" s="220">
        <v>2298268</v>
      </c>
      <c r="O17" s="25" t="s">
        <v>139</v>
      </c>
      <c r="P17" s="25" t="s">
        <v>6</v>
      </c>
      <c r="R17" s="15"/>
      <c r="S17" s="15"/>
    </row>
    <row r="18" spans="1:19" ht="15" customHeight="1" x14ac:dyDescent="0.3">
      <c r="A18" s="206"/>
      <c r="B18" s="207" t="str">
        <f>$R$5</f>
        <v>PGT (UG fee)</v>
      </c>
      <c r="C18" s="425">
        <v>0</v>
      </c>
      <c r="D18" s="213">
        <v>101</v>
      </c>
      <c r="E18" s="214">
        <v>78.5</v>
      </c>
      <c r="F18" s="426">
        <v>0</v>
      </c>
      <c r="G18" s="213">
        <v>1.21</v>
      </c>
      <c r="H18" s="214">
        <v>0</v>
      </c>
      <c r="I18" s="425">
        <v>0</v>
      </c>
      <c r="J18" s="216">
        <v>102.21</v>
      </c>
      <c r="K18" s="216">
        <v>78.5</v>
      </c>
      <c r="L18" s="216">
        <v>180.71</v>
      </c>
      <c r="M18" s="217">
        <v>198781</v>
      </c>
      <c r="O18" s="25" t="s">
        <v>139</v>
      </c>
      <c r="P18" s="25" t="s">
        <v>70</v>
      </c>
      <c r="R18" s="15"/>
      <c r="S18" s="15"/>
    </row>
    <row r="19" spans="1:19" ht="15" customHeight="1" x14ac:dyDescent="0.3">
      <c r="A19" s="208" t="s">
        <v>98</v>
      </c>
      <c r="B19" s="209" t="s">
        <v>6</v>
      </c>
      <c r="C19" s="212">
        <v>449</v>
      </c>
      <c r="D19" s="210">
        <v>282.5</v>
      </c>
      <c r="E19" s="211">
        <v>324</v>
      </c>
      <c r="F19" s="210">
        <v>1.94</v>
      </c>
      <c r="G19" s="210">
        <v>1.32</v>
      </c>
      <c r="H19" s="211">
        <v>6.63</v>
      </c>
      <c r="I19" s="218">
        <v>438.94</v>
      </c>
      <c r="J19" s="219">
        <v>278.82</v>
      </c>
      <c r="K19" s="219">
        <v>330.63</v>
      </c>
      <c r="L19" s="219">
        <v>1048.3900000000001</v>
      </c>
      <c r="M19" s="220">
        <v>419356</v>
      </c>
      <c r="O19" s="25" t="s">
        <v>140</v>
      </c>
      <c r="P19" s="25" t="s">
        <v>6</v>
      </c>
      <c r="R19" s="15"/>
      <c r="S19" s="15"/>
    </row>
    <row r="20" spans="1:19" ht="15" customHeight="1" x14ac:dyDescent="0.3">
      <c r="A20" s="206"/>
      <c r="B20" s="207" t="str">
        <f>$R$5</f>
        <v>PGT (UG fee)</v>
      </c>
      <c r="C20" s="425">
        <v>0</v>
      </c>
      <c r="D20" s="213">
        <v>30</v>
      </c>
      <c r="E20" s="214">
        <v>34</v>
      </c>
      <c r="F20" s="426">
        <v>0</v>
      </c>
      <c r="G20" s="213">
        <v>0</v>
      </c>
      <c r="H20" s="214">
        <v>0</v>
      </c>
      <c r="I20" s="425">
        <v>0</v>
      </c>
      <c r="J20" s="216">
        <v>30</v>
      </c>
      <c r="K20" s="216">
        <v>34</v>
      </c>
      <c r="L20" s="216">
        <v>64</v>
      </c>
      <c r="M20" s="217">
        <v>70400</v>
      </c>
      <c r="O20" s="25" t="s">
        <v>140</v>
      </c>
      <c r="P20" s="25" t="s">
        <v>70</v>
      </c>
      <c r="R20" s="15"/>
      <c r="S20" s="15"/>
    </row>
    <row r="21" spans="1:19" ht="15" customHeight="1" x14ac:dyDescent="0.3">
      <c r="A21" s="208" t="s">
        <v>93</v>
      </c>
      <c r="B21" s="209" t="s">
        <v>6</v>
      </c>
      <c r="C21" s="212">
        <v>2214</v>
      </c>
      <c r="D21" s="210">
        <v>2111</v>
      </c>
      <c r="E21" s="211">
        <v>2763.5</v>
      </c>
      <c r="F21" s="210">
        <v>55.16</v>
      </c>
      <c r="G21" s="210">
        <v>43.26</v>
      </c>
      <c r="H21" s="211">
        <v>41.93</v>
      </c>
      <c r="I21" s="218">
        <v>2269.16</v>
      </c>
      <c r="J21" s="219">
        <v>2154.2600000000002</v>
      </c>
      <c r="K21" s="219">
        <v>2805.43</v>
      </c>
      <c r="L21" s="219">
        <v>7228.85</v>
      </c>
      <c r="M21" s="220">
        <v>1445770</v>
      </c>
      <c r="O21" s="25" t="s">
        <v>141</v>
      </c>
      <c r="P21" s="25" t="s">
        <v>6</v>
      </c>
      <c r="R21" s="15"/>
      <c r="S21" s="15"/>
    </row>
    <row r="22" spans="1:19" ht="15" customHeight="1" x14ac:dyDescent="0.3">
      <c r="A22" s="206"/>
      <c r="B22" s="207" t="str">
        <f>$R$5</f>
        <v>PGT (UG fee)</v>
      </c>
      <c r="C22" s="425">
        <v>0</v>
      </c>
      <c r="D22" s="213">
        <v>448</v>
      </c>
      <c r="E22" s="214">
        <v>475.5</v>
      </c>
      <c r="F22" s="426">
        <v>0</v>
      </c>
      <c r="G22" s="213">
        <v>1.93</v>
      </c>
      <c r="H22" s="214">
        <v>0</v>
      </c>
      <c r="I22" s="425">
        <v>0</v>
      </c>
      <c r="J22" s="216">
        <v>449.93</v>
      </c>
      <c r="K22" s="216">
        <v>475.5</v>
      </c>
      <c r="L22" s="216">
        <v>925.43</v>
      </c>
      <c r="M22" s="217">
        <v>832887</v>
      </c>
      <c r="O22" s="25" t="s">
        <v>141</v>
      </c>
      <c r="P22" s="25" t="s">
        <v>70</v>
      </c>
      <c r="R22" s="15"/>
      <c r="S22" s="15"/>
    </row>
    <row r="23" spans="1:19" ht="15" customHeight="1" x14ac:dyDescent="0.3">
      <c r="A23" s="221" t="s">
        <v>95</v>
      </c>
      <c r="B23" s="222" t="s">
        <v>6</v>
      </c>
      <c r="C23" s="223">
        <v>0</v>
      </c>
      <c r="D23" s="224">
        <v>0</v>
      </c>
      <c r="E23" s="225">
        <v>134</v>
      </c>
      <c r="F23" s="224">
        <v>0</v>
      </c>
      <c r="G23" s="224">
        <v>0</v>
      </c>
      <c r="H23" s="225">
        <v>0</v>
      </c>
      <c r="I23" s="226">
        <v>0</v>
      </c>
      <c r="J23" s="227">
        <v>0</v>
      </c>
      <c r="K23" s="227">
        <v>134</v>
      </c>
      <c r="L23" s="227">
        <v>134</v>
      </c>
      <c r="M23" s="228">
        <v>26800</v>
      </c>
      <c r="O23" s="25" t="s">
        <v>142</v>
      </c>
      <c r="P23" s="25" t="s">
        <v>6</v>
      </c>
      <c r="R23" s="15"/>
      <c r="S23" s="15"/>
    </row>
    <row r="24" spans="1:19" ht="15" customHeight="1" x14ac:dyDescent="0.3">
      <c r="A24" s="206"/>
      <c r="B24" s="207" t="str">
        <f>$R$5</f>
        <v>PGT (UG fee)</v>
      </c>
      <c r="C24" s="425">
        <v>0</v>
      </c>
      <c r="D24" s="213">
        <v>0</v>
      </c>
      <c r="E24" s="214">
        <v>0</v>
      </c>
      <c r="F24" s="426">
        <v>0</v>
      </c>
      <c r="G24" s="213">
        <v>0</v>
      </c>
      <c r="H24" s="214">
        <v>0</v>
      </c>
      <c r="I24" s="425">
        <v>0</v>
      </c>
      <c r="J24" s="216">
        <v>0</v>
      </c>
      <c r="K24" s="216">
        <v>0</v>
      </c>
      <c r="L24" s="216">
        <v>0</v>
      </c>
      <c r="M24" s="217">
        <v>0</v>
      </c>
      <c r="O24" s="25" t="s">
        <v>142</v>
      </c>
      <c r="P24" s="25" t="s">
        <v>70</v>
      </c>
      <c r="R24" s="15"/>
      <c r="S24" s="15"/>
    </row>
    <row r="25" spans="1:19" ht="15" customHeight="1" x14ac:dyDescent="0.3">
      <c r="A25" s="221" t="s">
        <v>125</v>
      </c>
      <c r="B25" s="222" t="s">
        <v>6</v>
      </c>
      <c r="C25" s="223">
        <v>985</v>
      </c>
      <c r="D25" s="224">
        <v>883</v>
      </c>
      <c r="E25" s="225">
        <v>1035</v>
      </c>
      <c r="F25" s="224">
        <v>56.02</v>
      </c>
      <c r="G25" s="224">
        <v>32.08</v>
      </c>
      <c r="H25" s="225">
        <v>38.96</v>
      </c>
      <c r="I25" s="436">
        <v>0</v>
      </c>
      <c r="J25" s="431">
        <v>0</v>
      </c>
      <c r="K25" s="431">
        <v>0</v>
      </c>
      <c r="L25" s="431">
        <v>0</v>
      </c>
      <c r="M25" s="437">
        <v>0</v>
      </c>
      <c r="O25" s="25" t="s">
        <v>143</v>
      </c>
      <c r="P25" s="25" t="s">
        <v>6</v>
      </c>
      <c r="R25" s="15"/>
      <c r="S25" s="15"/>
    </row>
    <row r="26" spans="1:19" ht="15" customHeight="1" x14ac:dyDescent="0.3">
      <c r="A26" s="206"/>
      <c r="B26" s="207" t="str">
        <f>$R$5</f>
        <v>PGT (UG fee)</v>
      </c>
      <c r="C26" s="425">
        <v>0</v>
      </c>
      <c r="D26" s="213">
        <v>306</v>
      </c>
      <c r="E26" s="214">
        <v>284</v>
      </c>
      <c r="F26" s="426">
        <v>0</v>
      </c>
      <c r="G26" s="213">
        <v>1.91</v>
      </c>
      <c r="H26" s="214">
        <v>0</v>
      </c>
      <c r="I26" s="425">
        <v>0</v>
      </c>
      <c r="J26" s="213">
        <v>307.91000000000003</v>
      </c>
      <c r="K26" s="213">
        <v>284</v>
      </c>
      <c r="L26" s="213">
        <v>591.91</v>
      </c>
      <c r="M26" s="215">
        <v>414337</v>
      </c>
      <c r="O26" s="25" t="s">
        <v>143</v>
      </c>
      <c r="P26" s="25" t="s">
        <v>70</v>
      </c>
      <c r="R26" s="15"/>
      <c r="S26" s="15"/>
    </row>
    <row r="27" spans="1:19" ht="15" customHeight="1" x14ac:dyDescent="0.3">
      <c r="A27" s="221" t="s">
        <v>126</v>
      </c>
      <c r="B27" s="222" t="s">
        <v>6</v>
      </c>
      <c r="C27" s="223">
        <v>396</v>
      </c>
      <c r="D27" s="224">
        <v>581</v>
      </c>
      <c r="E27" s="225">
        <v>789</v>
      </c>
      <c r="F27" s="224">
        <v>10.45</v>
      </c>
      <c r="G27" s="224">
        <v>5.65</v>
      </c>
      <c r="H27" s="225">
        <v>73.33</v>
      </c>
      <c r="I27" s="436">
        <v>0</v>
      </c>
      <c r="J27" s="431">
        <v>0</v>
      </c>
      <c r="K27" s="431">
        <v>0</v>
      </c>
      <c r="L27" s="431">
        <v>0</v>
      </c>
      <c r="M27" s="437">
        <v>0</v>
      </c>
      <c r="O27" s="25" t="s">
        <v>144</v>
      </c>
      <c r="P27" s="25" t="s">
        <v>6</v>
      </c>
      <c r="R27" s="15"/>
      <c r="S27" s="15"/>
    </row>
    <row r="28" spans="1:19" ht="15" customHeight="1" x14ac:dyDescent="0.3">
      <c r="A28" s="206"/>
      <c r="B28" s="207" t="str">
        <f>$R$5</f>
        <v>PGT (UG fee)</v>
      </c>
      <c r="C28" s="425">
        <v>0</v>
      </c>
      <c r="D28" s="213">
        <v>0</v>
      </c>
      <c r="E28" s="214">
        <v>0</v>
      </c>
      <c r="F28" s="426">
        <v>0</v>
      </c>
      <c r="G28" s="213">
        <v>0</v>
      </c>
      <c r="H28" s="214">
        <v>0</v>
      </c>
      <c r="I28" s="425">
        <v>0</v>
      </c>
      <c r="J28" s="213">
        <v>0</v>
      </c>
      <c r="K28" s="213">
        <v>0</v>
      </c>
      <c r="L28" s="213">
        <v>0</v>
      </c>
      <c r="M28" s="215">
        <v>0</v>
      </c>
      <c r="O28" s="25" t="s">
        <v>144</v>
      </c>
      <c r="P28" s="25" t="s">
        <v>70</v>
      </c>
      <c r="R28" s="15"/>
      <c r="S28" s="15"/>
    </row>
    <row r="29" spans="1:19" ht="15" customHeight="1" x14ac:dyDescent="0.3">
      <c r="A29" s="221" t="s">
        <v>100</v>
      </c>
      <c r="B29" s="222" t="s">
        <v>6</v>
      </c>
      <c r="C29" s="223">
        <v>67</v>
      </c>
      <c r="D29" s="224">
        <v>65</v>
      </c>
      <c r="E29" s="225">
        <v>61</v>
      </c>
      <c r="F29" s="224">
        <v>0</v>
      </c>
      <c r="G29" s="224">
        <v>0</v>
      </c>
      <c r="H29" s="225">
        <v>0</v>
      </c>
      <c r="I29" s="226">
        <v>67</v>
      </c>
      <c r="J29" s="227">
        <v>65</v>
      </c>
      <c r="K29" s="227">
        <v>61</v>
      </c>
      <c r="L29" s="227">
        <v>193</v>
      </c>
      <c r="M29" s="228">
        <v>675500</v>
      </c>
      <c r="O29" s="25" t="s">
        <v>145</v>
      </c>
      <c r="P29" s="25" t="s">
        <v>6</v>
      </c>
      <c r="R29" s="15"/>
      <c r="S29" s="15"/>
    </row>
    <row r="30" spans="1:19" ht="15" customHeight="1" x14ac:dyDescent="0.3">
      <c r="A30" s="206"/>
      <c r="B30" s="207" t="str">
        <f>$R$5</f>
        <v>PGT (UG fee)</v>
      </c>
      <c r="C30" s="425">
        <v>0</v>
      </c>
      <c r="D30" s="213">
        <v>0</v>
      </c>
      <c r="E30" s="214">
        <v>0</v>
      </c>
      <c r="F30" s="426">
        <v>0</v>
      </c>
      <c r="G30" s="213">
        <v>0</v>
      </c>
      <c r="H30" s="214">
        <v>0</v>
      </c>
      <c r="I30" s="425">
        <v>0</v>
      </c>
      <c r="J30" s="216">
        <v>0</v>
      </c>
      <c r="K30" s="216">
        <v>0</v>
      </c>
      <c r="L30" s="216">
        <v>0</v>
      </c>
      <c r="M30" s="217">
        <v>0</v>
      </c>
      <c r="O30" s="25" t="s">
        <v>145</v>
      </c>
      <c r="P30" s="25" t="s">
        <v>70</v>
      </c>
      <c r="R30" s="15"/>
      <c r="S30" s="15"/>
    </row>
    <row r="31" spans="1:19" ht="15" customHeight="1" x14ac:dyDescent="0.3">
      <c r="A31" s="221" t="s">
        <v>101</v>
      </c>
      <c r="B31" s="222" t="s">
        <v>6</v>
      </c>
      <c r="C31" s="223">
        <v>31</v>
      </c>
      <c r="D31" s="224">
        <v>24</v>
      </c>
      <c r="E31" s="225">
        <v>33</v>
      </c>
      <c r="F31" s="224">
        <v>0</v>
      </c>
      <c r="G31" s="224">
        <v>0</v>
      </c>
      <c r="H31" s="225">
        <v>0</v>
      </c>
      <c r="I31" s="226">
        <v>31</v>
      </c>
      <c r="J31" s="227">
        <v>24</v>
      </c>
      <c r="K31" s="227">
        <v>33</v>
      </c>
      <c r="L31" s="227">
        <v>88</v>
      </c>
      <c r="M31" s="228">
        <v>308000</v>
      </c>
      <c r="O31" s="25" t="s">
        <v>146</v>
      </c>
      <c r="P31" s="25" t="s">
        <v>6</v>
      </c>
      <c r="R31" s="15"/>
      <c r="S31" s="15"/>
    </row>
    <row r="32" spans="1:19" ht="15" customHeight="1" x14ac:dyDescent="0.3">
      <c r="A32" s="206"/>
      <c r="B32" s="207" t="str">
        <f>$R$5</f>
        <v>PGT (UG fee)</v>
      </c>
      <c r="C32" s="425">
        <v>0</v>
      </c>
      <c r="D32" s="213">
        <v>0</v>
      </c>
      <c r="E32" s="214">
        <v>0</v>
      </c>
      <c r="F32" s="426">
        <v>0</v>
      </c>
      <c r="G32" s="213">
        <v>0</v>
      </c>
      <c r="H32" s="214">
        <v>0</v>
      </c>
      <c r="I32" s="425">
        <v>0</v>
      </c>
      <c r="J32" s="216">
        <v>0</v>
      </c>
      <c r="K32" s="216">
        <v>0</v>
      </c>
      <c r="L32" s="216">
        <v>0</v>
      </c>
      <c r="M32" s="217">
        <v>0</v>
      </c>
      <c r="O32" s="25" t="s">
        <v>146</v>
      </c>
      <c r="P32" s="25" t="s">
        <v>70</v>
      </c>
      <c r="R32" s="15"/>
      <c r="S32" s="15"/>
    </row>
    <row r="33" spans="1:19" ht="15" customHeight="1" x14ac:dyDescent="0.3">
      <c r="A33" s="221" t="s">
        <v>127</v>
      </c>
      <c r="B33" s="222" t="s">
        <v>6</v>
      </c>
      <c r="C33" s="223">
        <v>1224</v>
      </c>
      <c r="D33" s="224">
        <v>1412</v>
      </c>
      <c r="E33" s="225">
        <v>1653</v>
      </c>
      <c r="F33" s="223">
        <v>27.73</v>
      </c>
      <c r="G33" s="224">
        <v>23.43</v>
      </c>
      <c r="H33" s="225">
        <v>23.77</v>
      </c>
      <c r="I33" s="436">
        <v>0</v>
      </c>
      <c r="J33" s="431">
        <v>0</v>
      </c>
      <c r="K33" s="431">
        <v>0</v>
      </c>
      <c r="L33" s="431">
        <v>0</v>
      </c>
      <c r="M33" s="437">
        <v>0</v>
      </c>
      <c r="O33" s="25" t="s">
        <v>147</v>
      </c>
      <c r="P33" s="25" t="s">
        <v>6</v>
      </c>
      <c r="R33" s="15"/>
      <c r="S33" s="15"/>
    </row>
    <row r="34" spans="1:19" ht="15" customHeight="1" x14ac:dyDescent="0.3">
      <c r="A34" s="206"/>
      <c r="B34" s="207" t="str">
        <f>$R$5</f>
        <v>PGT (UG fee)</v>
      </c>
      <c r="C34" s="425">
        <v>0</v>
      </c>
      <c r="D34" s="213">
        <v>325</v>
      </c>
      <c r="E34" s="214">
        <v>378</v>
      </c>
      <c r="F34" s="426">
        <v>0</v>
      </c>
      <c r="G34" s="213">
        <v>0</v>
      </c>
      <c r="H34" s="214">
        <v>0</v>
      </c>
      <c r="I34" s="425">
        <v>0</v>
      </c>
      <c r="J34" s="213">
        <v>325</v>
      </c>
      <c r="K34" s="213">
        <v>378</v>
      </c>
      <c r="L34" s="213">
        <v>703</v>
      </c>
      <c r="M34" s="215">
        <v>492100</v>
      </c>
      <c r="O34" s="25" t="s">
        <v>147</v>
      </c>
      <c r="P34" s="25" t="s">
        <v>70</v>
      </c>
      <c r="R34" s="15"/>
      <c r="S34" s="15"/>
    </row>
    <row r="35" spans="1:19" ht="15" customHeight="1" x14ac:dyDescent="0.3">
      <c r="A35" s="221" t="s">
        <v>99</v>
      </c>
      <c r="B35" s="222" t="s">
        <v>6</v>
      </c>
      <c r="C35" s="226">
        <v>213</v>
      </c>
      <c r="D35" s="224">
        <v>172</v>
      </c>
      <c r="E35" s="229">
        <v>167</v>
      </c>
      <c r="F35" s="227">
        <v>6.48</v>
      </c>
      <c r="G35" s="224">
        <v>3.87</v>
      </c>
      <c r="H35" s="229">
        <v>0.57999999999999996</v>
      </c>
      <c r="I35" s="226">
        <v>219.48</v>
      </c>
      <c r="J35" s="227">
        <v>175.87</v>
      </c>
      <c r="K35" s="227">
        <v>167.58</v>
      </c>
      <c r="L35" s="227">
        <v>562.92999999999995</v>
      </c>
      <c r="M35" s="228">
        <v>675516</v>
      </c>
      <c r="O35" s="25" t="s">
        <v>148</v>
      </c>
      <c r="P35" s="25" t="s">
        <v>6</v>
      </c>
      <c r="R35" s="15"/>
    </row>
    <row r="36" spans="1:19" ht="15" customHeight="1" x14ac:dyDescent="0.3">
      <c r="A36" s="206"/>
      <c r="B36" s="207" t="str">
        <f>$R$5</f>
        <v>PGT (UG fee)</v>
      </c>
      <c r="C36" s="425">
        <v>0</v>
      </c>
      <c r="D36" s="213">
        <v>8</v>
      </c>
      <c r="E36" s="230">
        <v>6</v>
      </c>
      <c r="F36" s="426">
        <v>0</v>
      </c>
      <c r="G36" s="213">
        <v>0</v>
      </c>
      <c r="H36" s="230">
        <v>0</v>
      </c>
      <c r="I36" s="425">
        <v>0</v>
      </c>
      <c r="J36" s="216">
        <v>8</v>
      </c>
      <c r="K36" s="216">
        <v>6</v>
      </c>
      <c r="L36" s="216">
        <v>14</v>
      </c>
      <c r="M36" s="217">
        <v>26600</v>
      </c>
      <c r="O36" s="25" t="s">
        <v>148</v>
      </c>
      <c r="P36" s="25" t="s">
        <v>70</v>
      </c>
      <c r="R36" s="15"/>
    </row>
    <row r="37" spans="1:19" ht="15" customHeight="1" x14ac:dyDescent="0.3">
      <c r="A37" s="221" t="s">
        <v>94</v>
      </c>
      <c r="B37" s="222" t="s">
        <v>6</v>
      </c>
      <c r="C37" s="226">
        <v>917</v>
      </c>
      <c r="D37" s="224">
        <v>958</v>
      </c>
      <c r="E37" s="229">
        <v>1083</v>
      </c>
      <c r="F37" s="227">
        <v>2.6</v>
      </c>
      <c r="G37" s="224">
        <v>4.67</v>
      </c>
      <c r="H37" s="229">
        <v>1.87</v>
      </c>
      <c r="I37" s="226">
        <v>919.6</v>
      </c>
      <c r="J37" s="227">
        <v>962.67</v>
      </c>
      <c r="K37" s="227">
        <v>1084.8699999999999</v>
      </c>
      <c r="L37" s="227">
        <v>2967.14</v>
      </c>
      <c r="M37" s="228">
        <v>3560568</v>
      </c>
      <c r="O37" s="25" t="s">
        <v>149</v>
      </c>
      <c r="P37" s="25" t="s">
        <v>6</v>
      </c>
      <c r="R37" s="15"/>
    </row>
    <row r="38" spans="1:19" ht="15" customHeight="1" x14ac:dyDescent="0.3">
      <c r="A38" s="206"/>
      <c r="B38" s="207" t="str">
        <f>$R$5</f>
        <v>PGT (UG fee)</v>
      </c>
      <c r="C38" s="425">
        <v>0</v>
      </c>
      <c r="D38" s="213">
        <v>29</v>
      </c>
      <c r="E38" s="230">
        <v>24</v>
      </c>
      <c r="F38" s="426">
        <v>0</v>
      </c>
      <c r="G38" s="213">
        <v>0</v>
      </c>
      <c r="H38" s="230">
        <v>0</v>
      </c>
      <c r="I38" s="425">
        <v>0</v>
      </c>
      <c r="J38" s="216">
        <v>29</v>
      </c>
      <c r="K38" s="216">
        <v>24</v>
      </c>
      <c r="L38" s="216">
        <v>53</v>
      </c>
      <c r="M38" s="217">
        <v>100700</v>
      </c>
      <c r="O38" s="25" t="s">
        <v>149</v>
      </c>
      <c r="P38" s="25" t="s">
        <v>70</v>
      </c>
      <c r="R38" s="15"/>
    </row>
    <row r="39" spans="1:19" ht="15" customHeight="1" x14ac:dyDescent="0.3">
      <c r="A39" s="221" t="s">
        <v>96</v>
      </c>
      <c r="B39" s="222" t="s">
        <v>6</v>
      </c>
      <c r="C39" s="226">
        <v>227</v>
      </c>
      <c r="D39" s="224">
        <v>186</v>
      </c>
      <c r="E39" s="229">
        <v>217</v>
      </c>
      <c r="F39" s="227">
        <v>1.65</v>
      </c>
      <c r="G39" s="224">
        <v>2.63</v>
      </c>
      <c r="H39" s="229">
        <v>0</v>
      </c>
      <c r="I39" s="226">
        <v>210.65</v>
      </c>
      <c r="J39" s="227">
        <v>180.63</v>
      </c>
      <c r="K39" s="227">
        <v>217</v>
      </c>
      <c r="L39" s="227">
        <v>608.28</v>
      </c>
      <c r="M39" s="228">
        <v>729936</v>
      </c>
      <c r="O39" s="25" t="s">
        <v>150</v>
      </c>
      <c r="P39" s="25" t="s">
        <v>6</v>
      </c>
      <c r="R39" s="15"/>
    </row>
    <row r="40" spans="1:19" ht="15" customHeight="1" x14ac:dyDescent="0.3">
      <c r="A40" s="208"/>
      <c r="B40" s="209" t="str">
        <f>$R$5</f>
        <v>PGT (UG fee)</v>
      </c>
      <c r="C40" s="428">
        <v>0</v>
      </c>
      <c r="D40" s="379">
        <v>39</v>
      </c>
      <c r="E40" s="232">
        <v>37</v>
      </c>
      <c r="F40" s="432">
        <v>0</v>
      </c>
      <c r="G40" s="379">
        <v>0.3</v>
      </c>
      <c r="H40" s="232">
        <v>0</v>
      </c>
      <c r="I40" s="428">
        <v>0</v>
      </c>
      <c r="J40" s="231">
        <v>25.3</v>
      </c>
      <c r="K40" s="231">
        <v>22</v>
      </c>
      <c r="L40" s="231">
        <v>47.3</v>
      </c>
      <c r="M40" s="233">
        <v>89870</v>
      </c>
      <c r="O40" s="25" t="s">
        <v>150</v>
      </c>
      <c r="P40" s="25" t="s">
        <v>70</v>
      </c>
      <c r="R40" s="15"/>
    </row>
    <row r="41" spans="1:19" ht="15" customHeight="1" x14ac:dyDescent="0.3">
      <c r="A41" s="221" t="s">
        <v>97</v>
      </c>
      <c r="B41" s="222" t="s">
        <v>6</v>
      </c>
      <c r="C41" s="226">
        <v>312</v>
      </c>
      <c r="D41" s="224">
        <v>380</v>
      </c>
      <c r="E41" s="229">
        <v>409</v>
      </c>
      <c r="F41" s="227">
        <v>7.3</v>
      </c>
      <c r="G41" s="224">
        <v>2.04</v>
      </c>
      <c r="H41" s="229">
        <v>5.58</v>
      </c>
      <c r="I41" s="226">
        <v>319.3</v>
      </c>
      <c r="J41" s="227">
        <v>382.04</v>
      </c>
      <c r="K41" s="227">
        <v>414.58</v>
      </c>
      <c r="L41" s="227">
        <v>1115.92</v>
      </c>
      <c r="M41" s="228">
        <v>223184</v>
      </c>
      <c r="O41" s="25" t="s">
        <v>151</v>
      </c>
      <c r="P41" s="25" t="s">
        <v>6</v>
      </c>
      <c r="R41" s="15"/>
    </row>
    <row r="42" spans="1:19" ht="15" customHeight="1" thickBot="1" x14ac:dyDescent="0.35">
      <c r="A42" s="208"/>
      <c r="B42" s="209" t="str">
        <f>$R$5</f>
        <v>PGT (UG fee)</v>
      </c>
      <c r="C42" s="428">
        <v>0</v>
      </c>
      <c r="D42" s="379">
        <v>196</v>
      </c>
      <c r="E42" s="232">
        <v>253</v>
      </c>
      <c r="F42" s="432">
        <v>0</v>
      </c>
      <c r="G42" s="379">
        <v>2.8</v>
      </c>
      <c r="H42" s="232">
        <v>0</v>
      </c>
      <c r="I42" s="428">
        <v>0</v>
      </c>
      <c r="J42" s="231">
        <v>198.8</v>
      </c>
      <c r="K42" s="231">
        <v>253</v>
      </c>
      <c r="L42" s="231">
        <v>451.8</v>
      </c>
      <c r="M42" s="233">
        <v>406620</v>
      </c>
      <c r="O42" s="25" t="s">
        <v>151</v>
      </c>
      <c r="P42" s="25" t="s">
        <v>70</v>
      </c>
      <c r="R42" s="15"/>
    </row>
    <row r="43" spans="1:19" ht="15" customHeight="1" thickTop="1" x14ac:dyDescent="0.3">
      <c r="A43" s="234" t="s">
        <v>3</v>
      </c>
      <c r="B43" s="235" t="s">
        <v>6</v>
      </c>
      <c r="C43" s="236">
        <f>SUM(C11,C13,C15,C17,C19,C21,C23,C25,C27,C29,C31,C33,C35,C37,C39,C41)</f>
        <v>20861</v>
      </c>
      <c r="D43" s="237">
        <f t="shared" ref="D43:H43" si="0">SUM(D7,D9,D11,D13,D15,D17,D19,D21,D23,D25,D27,D29,D31,D33,D35,D37,D39,D41)</f>
        <v>20531</v>
      </c>
      <c r="E43" s="238">
        <f t="shared" si="0"/>
        <v>24574</v>
      </c>
      <c r="F43" s="237">
        <f>SUM(F11,F13,F15,F17,F19,F21,F23,F25,F27,F29,F31,F33,F35,F37,F39,F41)</f>
        <v>340.85</v>
      </c>
      <c r="G43" s="237">
        <f t="shared" si="0"/>
        <v>253.98999999999998</v>
      </c>
      <c r="H43" s="238">
        <f t="shared" si="0"/>
        <v>335.32999999999993</v>
      </c>
      <c r="I43" s="236">
        <f>SUM(I15,I17,I19,I21,I23,I29,I31,I35,I37,I39,I41)</f>
        <v>16571.53</v>
      </c>
      <c r="J43" s="237">
        <f>SUM(J15,J17,J19,J21,J23,J29,J31,J35,J37,J39,J41)</f>
        <v>15472.85</v>
      </c>
      <c r="K43" s="237">
        <f>SUM(K15,K17,K19,K21,K23,K29,K31,K35,K37,K39,K41)</f>
        <v>18591.29</v>
      </c>
      <c r="L43" s="237">
        <f>SUM(L15,L17,L19,L21,L23,L29,L31,L35,L37,L39,L41)</f>
        <v>50635.67</v>
      </c>
      <c r="M43" s="239">
        <f>SUM(M15,M17,M19,M21,M23,M29,M31,M35,M37,M39,M41)</f>
        <v>16551596</v>
      </c>
      <c r="R43" s="15"/>
    </row>
    <row r="44" spans="1:19" ht="15" customHeight="1" x14ac:dyDescent="0.3">
      <c r="A44" s="240"/>
      <c r="B44" s="378" t="str">
        <f>$R$5</f>
        <v>PGT (UG fee)</v>
      </c>
      <c r="C44" s="429"/>
      <c r="D44" s="380">
        <f t="shared" ref="D44:H44" si="1">SUM(D8,D10,D12,D14,D16,D18,D20,D22,D24,D26,D28,D30,D32,D34,D36,D38,D40,D42)</f>
        <v>2267</v>
      </c>
      <c r="E44" s="242">
        <f t="shared" si="1"/>
        <v>2226</v>
      </c>
      <c r="F44" s="433"/>
      <c r="G44" s="380">
        <f t="shared" si="1"/>
        <v>15.870000000000001</v>
      </c>
      <c r="H44" s="242">
        <f t="shared" si="1"/>
        <v>2.98</v>
      </c>
      <c r="I44" s="433"/>
      <c r="J44" s="380">
        <f>SUM(J12,J14,J16,J18,J20,J22,J24,J26,J28,J30,J32,J34,J36,J38,J40,J42)</f>
        <v>2227.8700000000003</v>
      </c>
      <c r="K44" s="380">
        <f>SUM(K12,K14,K16,K18,K20,K22,K24,K26,K28,K30,K32,K34,K36,K38,K40,K42)</f>
        <v>2180.98</v>
      </c>
      <c r="L44" s="241">
        <f>SUM(L12,L14,L16,L18,L20,L22,L24,L26,L28,L30,L32,L34,L36,L38,L40,L42)</f>
        <v>4408.8500000000004</v>
      </c>
      <c r="M44" s="243">
        <f>SUM(M12,M14,M16,M18,M20,M22,M24,M26,M28,M30,M32,M34,M36,M38,M40,M42)</f>
        <v>3820093</v>
      </c>
      <c r="R44" s="15"/>
    </row>
    <row r="45" spans="1:19" ht="15" customHeight="1" thickBot="1" x14ac:dyDescent="0.35">
      <c r="A45" s="244"/>
      <c r="B45" s="245" t="s">
        <v>4</v>
      </c>
      <c r="C45" s="246">
        <f>SUM(C7:C42)</f>
        <v>20861</v>
      </c>
      <c r="D45" s="247">
        <f t="shared" ref="D45:H45" si="2">SUM(D7:D42)</f>
        <v>22798</v>
      </c>
      <c r="E45" s="248">
        <f t="shared" si="2"/>
        <v>26800</v>
      </c>
      <c r="F45" s="247">
        <f t="shared" si="2"/>
        <v>340.85</v>
      </c>
      <c r="G45" s="247">
        <f t="shared" si="2"/>
        <v>269.86000000000007</v>
      </c>
      <c r="H45" s="248">
        <f t="shared" si="2"/>
        <v>338.30999999999995</v>
      </c>
      <c r="I45" s="246">
        <f>I43</f>
        <v>16571.53</v>
      </c>
      <c r="J45" s="247">
        <f>SUM(J43:J44)</f>
        <v>17700.72</v>
      </c>
      <c r="K45" s="247">
        <f>SUM(K43:K44)</f>
        <v>20772.27</v>
      </c>
      <c r="L45" s="247">
        <f>SUM(L43:L44)</f>
        <v>55044.52</v>
      </c>
      <c r="M45" s="489">
        <f>SUM(M43:M44)</f>
        <v>20371689</v>
      </c>
      <c r="R45" s="15"/>
    </row>
    <row r="47" spans="1:19" hidden="1" x14ac:dyDescent="0.3">
      <c r="A47" s="20" t="s">
        <v>152</v>
      </c>
      <c r="B47" s="20"/>
      <c r="C47" s="25" t="s">
        <v>2</v>
      </c>
      <c r="D47" s="25" t="s">
        <v>2</v>
      </c>
      <c r="E47" s="25" t="s">
        <v>2</v>
      </c>
      <c r="F47" s="25" t="s">
        <v>1</v>
      </c>
      <c r="G47" s="25" t="s">
        <v>1</v>
      </c>
      <c r="H47" s="25" t="s">
        <v>1</v>
      </c>
      <c r="I47" s="25" t="s">
        <v>153</v>
      </c>
      <c r="J47" s="25" t="s">
        <v>153</v>
      </c>
      <c r="K47" s="25" t="s">
        <v>153</v>
      </c>
      <c r="L47" s="25" t="s">
        <v>153</v>
      </c>
      <c r="M47" s="25" t="s">
        <v>153</v>
      </c>
    </row>
    <row r="48" spans="1:19" hidden="1" x14ac:dyDescent="0.3">
      <c r="C48" s="25" t="s">
        <v>287</v>
      </c>
      <c r="D48" s="25" t="s">
        <v>288</v>
      </c>
      <c r="E48" s="25" t="s">
        <v>289</v>
      </c>
      <c r="F48" s="25" t="s">
        <v>287</v>
      </c>
      <c r="G48" s="25" t="s">
        <v>288</v>
      </c>
      <c r="H48" s="25" t="s">
        <v>289</v>
      </c>
      <c r="I48" s="25" t="s">
        <v>130</v>
      </c>
      <c r="J48" s="25" t="s">
        <v>131</v>
      </c>
      <c r="K48" s="25" t="s">
        <v>257</v>
      </c>
      <c r="L48" s="25" t="s">
        <v>290</v>
      </c>
      <c r="M48" s="25" t="s">
        <v>286</v>
      </c>
    </row>
  </sheetData>
  <mergeCells count="6">
    <mergeCell ref="A1:K1"/>
    <mergeCell ref="M4:M6"/>
    <mergeCell ref="C5:E5"/>
    <mergeCell ref="F5:H5"/>
    <mergeCell ref="C4:H4"/>
    <mergeCell ref="I4:L5"/>
  </mergeCells>
  <conditionalFormatting sqref="I7:M11 I12:I14 J13:M13 I16 I18 I20 I22 I24:I28 J27:M27 J25:M25 I30 I32:I34 J33:M33 I36 I38 I40 I42 I44 F9 F7 C8:H8 C7 C9 C10:H10 C12 F12 C14 F14 C16 F16 C18 F18 C20 F20 C22 F22 C24 F24 C26 F26 C28 F28 C30 F30 C32 F32 C34 F34 C36 F36 C38 F38 C40 F40 C42 F42 C44 F44">
    <cfRule type="cellIs" dxfId="6" priority="3" operator="equal">
      <formula>0</formula>
    </cfRule>
  </conditionalFormatting>
  <conditionalFormatting sqref="C11 C13 C15 C17 C19 C21 C23 C25 C27 C29 C31 C33 C35 C37 C39 C41 C43 C45 D11:E45 D9:E9 D7:E7 G7:H7 G9:H9 F11:H11 F13 F15 F17 F19 F21 F23 F25 F27 F29 F31 F33 F35 F37 F39 F41 F43 F45 G12:H45 J12:M12 I15 I17 I19 I21 I23 I29 I31 I35 I37 I39 I41 I43 I45 J14:M24 J26:M26 J28:M32 J34:M45">
    <cfRule type="cellIs" dxfId="5" priority="1" operator="equal">
      <formula>0</formula>
    </cfRule>
  </conditionalFormatting>
  <pageMargins left="0.70866141732283472" right="0.70866141732283472" top="0.74803149606299213" bottom="0.74803149606299213" header="0.31496062992125984" footer="0.31496062992125984"/>
  <pageSetup paperSize="9" scale="71" orientation="landscape" r:id="rId1"/>
  <headerFooter>
    <oddHeader>&amp;CPage &amp;P&amp;R&amp;F</oddHeader>
  </headerFooter>
  <ignoredErrors>
    <ignoredError sqref="K2:M5 L1 A2:C2 F2:F6 H2:I5 E2:E5 E10 H10:I42 I6 K8:M8 L6:M6 F10:F32 I7:I9 A45:B45 A43:B44 A4:B4 B3:C3 A6:C42 A5:B5 K10:M42 F34:F4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tabColor theme="6" tint="0.39997558519241921"/>
    <pageSetUpPr fitToPage="1"/>
  </sheetPr>
  <dimension ref="A1:L16"/>
  <sheetViews>
    <sheetView showGridLines="0" workbookViewId="0"/>
  </sheetViews>
  <sheetFormatPr defaultColWidth="9.1796875" defaultRowHeight="12.5" x14ac:dyDescent="0.25"/>
  <cols>
    <col min="1" max="1" width="20.81640625" style="475" customWidth="1"/>
    <col min="2" max="2" width="36.26953125" style="475" customWidth="1"/>
    <col min="3" max="3" width="25.08984375" style="475" customWidth="1"/>
    <col min="4" max="4" width="5.81640625" style="475" customWidth="1"/>
    <col min="5" max="5" width="17.54296875" style="475" hidden="1" customWidth="1"/>
    <col min="6" max="16384" width="9.1796875" style="475"/>
  </cols>
  <sheetData>
    <row r="1" spans="1:12" ht="14" x14ac:dyDescent="0.3">
      <c r="A1" s="387" t="str">
        <f>TABLEA</f>
        <v xml:space="preserve">Sector summary of all providers </v>
      </c>
      <c r="B1" s="387"/>
      <c r="C1" s="387"/>
      <c r="D1" s="387"/>
      <c r="F1" s="387"/>
      <c r="G1" s="387"/>
      <c r="H1" s="387"/>
      <c r="I1" s="387"/>
      <c r="J1" s="387"/>
      <c r="K1" s="387"/>
      <c r="L1" s="387"/>
    </row>
    <row r="3" spans="1:12" ht="15.5" x14ac:dyDescent="0.25">
      <c r="A3" s="62" t="s">
        <v>291</v>
      </c>
    </row>
    <row r="4" spans="1:12" x14ac:dyDescent="0.25">
      <c r="C4" s="485"/>
      <c r="D4" s="485"/>
      <c r="E4" s="486"/>
    </row>
    <row r="5" spans="1:12" ht="62.9" customHeight="1" thickBot="1" x14ac:dyDescent="0.35">
      <c r="A5" s="515" t="s">
        <v>307</v>
      </c>
      <c r="B5" s="515"/>
      <c r="C5" s="389"/>
      <c r="D5" s="388"/>
      <c r="E5" s="129" t="s">
        <v>57</v>
      </c>
    </row>
    <row r="6" spans="1:12" ht="13.5" x14ac:dyDescent="0.3">
      <c r="A6" s="26"/>
      <c r="B6" s="390" t="s">
        <v>249</v>
      </c>
      <c r="C6" s="470">
        <v>12698.226442138101</v>
      </c>
      <c r="D6" s="28"/>
      <c r="E6" s="174" t="s">
        <v>301</v>
      </c>
    </row>
    <row r="7" spans="1:12" ht="13.5" x14ac:dyDescent="0.3">
      <c r="A7" s="26"/>
      <c r="B7" s="390" t="s">
        <v>250</v>
      </c>
      <c r="C7" s="484">
        <v>13063.5432080602</v>
      </c>
      <c r="D7" s="31"/>
      <c r="E7" s="174" t="s">
        <v>302</v>
      </c>
    </row>
    <row r="8" spans="1:12" ht="13.5" x14ac:dyDescent="0.3">
      <c r="A8" s="26"/>
      <c r="B8" s="390" t="s">
        <v>251</v>
      </c>
      <c r="C8" s="484">
        <v>5463.5086709266598</v>
      </c>
      <c r="D8" s="31"/>
      <c r="E8" s="174" t="s">
        <v>303</v>
      </c>
    </row>
    <row r="9" spans="1:12" ht="13.5" x14ac:dyDescent="0.3">
      <c r="A9" s="26"/>
      <c r="B9" s="390" t="s">
        <v>252</v>
      </c>
      <c r="C9" s="484">
        <v>1280.64848406899</v>
      </c>
      <c r="D9" s="31"/>
      <c r="E9" s="174" t="s">
        <v>310</v>
      </c>
    </row>
    <row r="10" spans="1:12" ht="13.5" x14ac:dyDescent="0.3">
      <c r="A10" s="26"/>
      <c r="B10" s="390" t="s">
        <v>256</v>
      </c>
      <c r="C10" s="484">
        <v>32349.363076786402</v>
      </c>
      <c r="D10" s="31"/>
      <c r="E10" s="174" t="s">
        <v>304</v>
      </c>
    </row>
    <row r="11" spans="1:12" ht="27.9" customHeight="1" x14ac:dyDescent="0.3">
      <c r="A11" s="26"/>
      <c r="B11" s="390" t="s">
        <v>247</v>
      </c>
      <c r="C11" s="470">
        <v>775.34984607000001</v>
      </c>
      <c r="D11" s="31"/>
      <c r="E11" s="483"/>
    </row>
    <row r="12" spans="1:12" ht="16" thickBot="1" x14ac:dyDescent="0.35">
      <c r="A12" s="37"/>
      <c r="B12" s="392" t="s">
        <v>20</v>
      </c>
      <c r="C12" s="488">
        <v>25082070</v>
      </c>
      <c r="D12" s="391"/>
      <c r="E12" s="174" t="s">
        <v>305</v>
      </c>
    </row>
    <row r="13" spans="1:12" x14ac:dyDescent="0.25">
      <c r="E13" s="486"/>
    </row>
    <row r="14" spans="1:12" x14ac:dyDescent="0.25">
      <c r="A14" s="475" t="s">
        <v>279</v>
      </c>
      <c r="E14" s="486"/>
    </row>
    <row r="15" spans="1:12" x14ac:dyDescent="0.25">
      <c r="E15" s="486"/>
    </row>
    <row r="16" spans="1:12" ht="13.5" hidden="1" x14ac:dyDescent="0.25">
      <c r="C16" s="174" t="s">
        <v>56</v>
      </c>
    </row>
  </sheetData>
  <mergeCells count="1">
    <mergeCell ref="A5:B5"/>
  </mergeCells>
  <conditionalFormatting sqref="A1">
    <cfRule type="cellIs" dxfId="4" priority="7" operator="equal">
      <formula>0</formula>
    </cfRule>
  </conditionalFormatting>
  <conditionalFormatting sqref="C6:D12">
    <cfRule type="cellIs" dxfId="3" priority="6" operator="equal">
      <formula>0</formula>
    </cfRule>
  </conditionalFormatting>
  <pageMargins left="0.70866141732283472" right="0.70866141732283472" top="0.74803149606299213" bottom="0.74803149606299213" header="0.31496062992125984" footer="0.31496062992125984"/>
  <pageSetup paperSize="9" scale="96" orientation="landscape" r:id="rId1"/>
  <headerFooter>
    <oddHeader>&amp;CPage &amp;P&amp;R&amp;F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6" tint="0.39997558519241921"/>
  </sheetPr>
  <dimension ref="A1:AE99"/>
  <sheetViews>
    <sheetView showGridLines="0" zoomScaleNormal="100" workbookViewId="0">
      <pane xSplit="4" ySplit="4" topLeftCell="E5" activePane="bottomRight" state="frozen"/>
      <selection sqref="A1:J1"/>
      <selection pane="topRight" sqref="A1:J1"/>
      <selection pane="bottomLeft" sqref="A1:J1"/>
      <selection pane="bottomRight" sqref="A1:J1"/>
    </sheetView>
  </sheetViews>
  <sheetFormatPr defaultColWidth="9.1796875" defaultRowHeight="13.5" x14ac:dyDescent="0.3"/>
  <cols>
    <col min="1" max="1" width="7.453125" style="7" customWidth="1"/>
    <col min="2" max="2" width="10.453125" style="7" customWidth="1"/>
    <col min="3" max="3" width="21.1796875" style="7" customWidth="1"/>
    <col min="4" max="4" width="11" style="7" customWidth="1"/>
    <col min="5" max="5" width="13.54296875" style="7" customWidth="1"/>
    <col min="6" max="6" width="14.7265625" style="7" customWidth="1"/>
    <col min="7" max="7" width="13.453125" style="7" customWidth="1"/>
    <col min="8" max="8" width="14.81640625" style="7" customWidth="1"/>
    <col min="9" max="9" width="13.1796875" style="7" customWidth="1"/>
    <col min="10" max="10" width="13.08984375" style="7" customWidth="1"/>
    <col min="11" max="11" width="14.6328125" style="7" customWidth="1"/>
    <col min="12" max="12" width="13.453125" style="7" customWidth="1"/>
    <col min="13" max="13" width="15.81640625" style="7" customWidth="1"/>
    <col min="14" max="14" width="13.81640625" style="7" customWidth="1"/>
    <col min="15" max="15" width="9.26953125" style="113" customWidth="1"/>
    <col min="16" max="16" width="14.453125" style="7" customWidth="1"/>
    <col min="17" max="17" width="14.26953125" style="7" customWidth="1"/>
    <col min="18" max="18" width="18.26953125" style="7" customWidth="1"/>
    <col min="19" max="19" width="15.1796875" style="7" customWidth="1"/>
    <col min="20" max="20" width="15.6328125" style="7" customWidth="1"/>
    <col min="21" max="21" width="13.90625" style="7" customWidth="1"/>
    <col min="22" max="22" width="9.1796875" style="7" customWidth="1"/>
    <col min="23" max="23" width="11.1796875" style="7" hidden="1" customWidth="1"/>
    <col min="24" max="24" width="8.26953125" style="7" hidden="1" customWidth="1"/>
    <col min="25" max="25" width="10.453125" style="7" hidden="1" customWidth="1"/>
    <col min="26" max="26" width="8.81640625" style="7" hidden="1" customWidth="1"/>
    <col min="27" max="29" width="9.1796875" style="7" customWidth="1"/>
    <col min="30" max="31" width="9.1796875" style="7" hidden="1" customWidth="1"/>
    <col min="32" max="16384" width="9.1796875" style="7"/>
  </cols>
  <sheetData>
    <row r="1" spans="1:30" ht="15.75" customHeight="1" x14ac:dyDescent="0.3">
      <c r="A1" s="510" t="str">
        <f>'A Summary'!J8</f>
        <v xml:space="preserve">Sector summary of all providers </v>
      </c>
      <c r="B1" s="510"/>
      <c r="C1" s="510"/>
      <c r="D1" s="510"/>
      <c r="E1" s="510"/>
      <c r="F1" s="510"/>
      <c r="G1" s="510"/>
      <c r="H1" s="510"/>
      <c r="I1" s="510"/>
      <c r="J1" s="510"/>
      <c r="K1" s="61"/>
      <c r="L1" s="61"/>
      <c r="M1" s="61"/>
      <c r="U1" s="61"/>
    </row>
    <row r="2" spans="1:30" ht="15" customHeight="1" x14ac:dyDescent="0.3">
      <c r="B2" s="8"/>
      <c r="C2" s="8"/>
      <c r="F2" s="15"/>
      <c r="G2" s="15"/>
      <c r="H2" s="15"/>
      <c r="I2" s="15"/>
      <c r="J2" s="15"/>
    </row>
    <row r="3" spans="1:30" ht="22.65" customHeight="1" thickBot="1" x14ac:dyDescent="0.35">
      <c r="A3" s="249" t="s">
        <v>254</v>
      </c>
      <c r="F3" s="15"/>
      <c r="G3" s="15"/>
      <c r="H3" s="15"/>
      <c r="I3" s="15"/>
      <c r="J3" s="15"/>
      <c r="P3" s="511" t="s">
        <v>280</v>
      </c>
      <c r="Q3" s="511"/>
      <c r="R3" s="511"/>
      <c r="S3" s="511"/>
      <c r="T3" s="511"/>
      <c r="U3" s="511"/>
      <c r="V3" s="15"/>
    </row>
    <row r="4" spans="1:30" s="64" customFormat="1" ht="69.75" customHeight="1" x14ac:dyDescent="0.3">
      <c r="A4" s="383" t="s">
        <v>13</v>
      </c>
      <c r="B4" s="383" t="s">
        <v>0</v>
      </c>
      <c r="C4" s="383" t="s">
        <v>5</v>
      </c>
      <c r="D4" s="128" t="s">
        <v>10</v>
      </c>
      <c r="E4" s="384" t="s">
        <v>265</v>
      </c>
      <c r="F4" s="381" t="s">
        <v>283</v>
      </c>
      <c r="G4" s="381" t="s">
        <v>266</v>
      </c>
      <c r="H4" s="381" t="s">
        <v>267</v>
      </c>
      <c r="I4" s="381" t="s">
        <v>40</v>
      </c>
      <c r="J4" s="386" t="s">
        <v>243</v>
      </c>
      <c r="K4" s="385" t="s">
        <v>49</v>
      </c>
      <c r="L4" s="382" t="s">
        <v>41</v>
      </c>
      <c r="M4" s="382" t="s">
        <v>227</v>
      </c>
      <c r="N4" s="382" t="s">
        <v>42</v>
      </c>
      <c r="O4" s="492"/>
      <c r="P4" s="382" t="s">
        <v>277</v>
      </c>
      <c r="Q4" s="382" t="s">
        <v>278</v>
      </c>
      <c r="R4" s="382" t="s">
        <v>309</v>
      </c>
      <c r="S4" s="382" t="s">
        <v>41</v>
      </c>
      <c r="T4" s="382" t="s">
        <v>227</v>
      </c>
      <c r="U4" s="382" t="s">
        <v>42</v>
      </c>
      <c r="W4" s="250" t="s">
        <v>29</v>
      </c>
      <c r="X4" s="250" t="s">
        <v>30</v>
      </c>
      <c r="Y4" s="250" t="s">
        <v>31</v>
      </c>
      <c r="Z4" s="250" t="s">
        <v>32</v>
      </c>
      <c r="AB4" s="399"/>
    </row>
    <row r="5" spans="1:30" x14ac:dyDescent="0.3">
      <c r="A5" s="251" t="s">
        <v>7</v>
      </c>
      <c r="B5" s="251" t="s">
        <v>217</v>
      </c>
      <c r="C5" s="251" t="s">
        <v>6</v>
      </c>
      <c r="D5" s="252" t="s">
        <v>12</v>
      </c>
      <c r="E5" s="91">
        <v>15341.15</v>
      </c>
      <c r="F5" s="412">
        <v>0</v>
      </c>
      <c r="G5" s="412">
        <v>0</v>
      </c>
      <c r="H5" s="92">
        <v>118</v>
      </c>
      <c r="I5" s="92">
        <v>66</v>
      </c>
      <c r="J5" s="253">
        <v>15525.15</v>
      </c>
      <c r="K5" s="444">
        <v>0</v>
      </c>
      <c r="L5" s="445">
        <v>0</v>
      </c>
      <c r="M5" s="445">
        <v>0</v>
      </c>
      <c r="N5" s="254">
        <v>3721999.14</v>
      </c>
      <c r="P5" s="412">
        <v>0</v>
      </c>
      <c r="Q5" s="92">
        <v>221</v>
      </c>
      <c r="R5" s="92">
        <v>339</v>
      </c>
      <c r="S5" s="412">
        <v>0</v>
      </c>
      <c r="T5" s="412">
        <v>0</v>
      </c>
      <c r="U5" s="93">
        <v>19893</v>
      </c>
      <c r="W5" s="70" t="s">
        <v>7</v>
      </c>
      <c r="X5" s="70" t="s">
        <v>2</v>
      </c>
      <c r="Y5" s="70" t="s">
        <v>6</v>
      </c>
      <c r="Z5" s="70" t="s">
        <v>23</v>
      </c>
      <c r="AB5" s="15"/>
      <c r="AD5" s="8" t="s">
        <v>69</v>
      </c>
    </row>
    <row r="6" spans="1:30" x14ac:dyDescent="0.3">
      <c r="A6" s="113"/>
      <c r="B6" s="113"/>
      <c r="C6" s="255"/>
      <c r="D6" s="256" t="s">
        <v>11</v>
      </c>
      <c r="E6" s="77">
        <v>8310</v>
      </c>
      <c r="F6" s="405">
        <v>0</v>
      </c>
      <c r="G6" s="405">
        <v>0</v>
      </c>
      <c r="H6" s="78">
        <v>0</v>
      </c>
      <c r="I6" s="78">
        <v>61</v>
      </c>
      <c r="J6" s="257">
        <v>8371</v>
      </c>
      <c r="K6" s="446">
        <v>0</v>
      </c>
      <c r="L6" s="447">
        <v>0</v>
      </c>
      <c r="M6" s="447">
        <v>0</v>
      </c>
      <c r="N6" s="258">
        <v>2185089</v>
      </c>
      <c r="P6" s="405">
        <v>0</v>
      </c>
      <c r="Q6" s="78">
        <v>0</v>
      </c>
      <c r="R6" s="78">
        <v>0</v>
      </c>
      <c r="S6" s="405">
        <v>0</v>
      </c>
      <c r="T6" s="405">
        <v>0</v>
      </c>
      <c r="U6" s="79">
        <v>0</v>
      </c>
      <c r="W6" s="70" t="s">
        <v>7</v>
      </c>
      <c r="X6" s="70" t="s">
        <v>2</v>
      </c>
      <c r="Y6" s="70" t="s">
        <v>6</v>
      </c>
      <c r="Z6" s="70" t="s">
        <v>24</v>
      </c>
      <c r="AB6" s="15"/>
      <c r="AD6" s="8" t="s">
        <v>70</v>
      </c>
    </row>
    <row r="7" spans="1:30" x14ac:dyDescent="0.3">
      <c r="A7" s="113"/>
      <c r="B7" s="113"/>
      <c r="C7" s="259" t="str">
        <f>$AD$8</f>
        <v>PGT (Masters' loan)</v>
      </c>
      <c r="D7" s="260" t="s">
        <v>12</v>
      </c>
      <c r="E7" s="82">
        <v>1</v>
      </c>
      <c r="F7" s="406">
        <v>0</v>
      </c>
      <c r="G7" s="406">
        <v>0</v>
      </c>
      <c r="H7" s="406">
        <v>0</v>
      </c>
      <c r="I7" s="84">
        <v>0</v>
      </c>
      <c r="J7" s="261">
        <v>1</v>
      </c>
      <c r="K7" s="445">
        <v>0</v>
      </c>
      <c r="L7" s="445">
        <v>0</v>
      </c>
      <c r="M7" s="445">
        <v>0</v>
      </c>
      <c r="N7" s="262">
        <v>0</v>
      </c>
      <c r="P7" s="406">
        <v>0</v>
      </c>
      <c r="Q7" s="406">
        <v>0</v>
      </c>
      <c r="R7" s="406">
        <v>0</v>
      </c>
      <c r="S7" s="406">
        <v>0</v>
      </c>
      <c r="T7" s="406">
        <v>0</v>
      </c>
      <c r="U7" s="420">
        <v>0</v>
      </c>
      <c r="W7" s="70" t="s">
        <v>7</v>
      </c>
      <c r="X7" s="70" t="s">
        <v>2</v>
      </c>
      <c r="Y7" s="70" t="s">
        <v>46</v>
      </c>
      <c r="Z7" s="70" t="s">
        <v>23</v>
      </c>
      <c r="AB7" s="15"/>
      <c r="AD7" s="7" t="s">
        <v>245</v>
      </c>
    </row>
    <row r="8" spans="1:30" x14ac:dyDescent="0.3">
      <c r="A8" s="113"/>
      <c r="B8" s="113"/>
      <c r="C8" s="255"/>
      <c r="D8" s="256" t="s">
        <v>11</v>
      </c>
      <c r="E8" s="77">
        <v>1127.82</v>
      </c>
      <c r="F8" s="405">
        <v>0</v>
      </c>
      <c r="G8" s="405">
        <v>0</v>
      </c>
      <c r="H8" s="405">
        <v>0</v>
      </c>
      <c r="I8" s="78">
        <v>0</v>
      </c>
      <c r="J8" s="257">
        <v>1127.82</v>
      </c>
      <c r="K8" s="447">
        <v>0</v>
      </c>
      <c r="L8" s="447">
        <v>0</v>
      </c>
      <c r="M8" s="447">
        <v>0</v>
      </c>
      <c r="N8" s="258">
        <v>1021689.35</v>
      </c>
      <c r="P8" s="405">
        <v>0</v>
      </c>
      <c r="Q8" s="405">
        <v>0</v>
      </c>
      <c r="R8" s="405">
        <v>0</v>
      </c>
      <c r="S8" s="405">
        <v>0</v>
      </c>
      <c r="T8" s="405">
        <v>0</v>
      </c>
      <c r="U8" s="418">
        <v>0</v>
      </c>
      <c r="W8" s="70" t="s">
        <v>7</v>
      </c>
      <c r="X8" s="70" t="s">
        <v>2</v>
      </c>
      <c r="Y8" s="70" t="s">
        <v>46</v>
      </c>
      <c r="Z8" s="70" t="s">
        <v>24</v>
      </c>
      <c r="AB8" s="15"/>
      <c r="AD8" s="7" t="s">
        <v>274</v>
      </c>
    </row>
    <row r="9" spans="1:30" x14ac:dyDescent="0.3">
      <c r="A9" s="113"/>
      <c r="B9" s="113"/>
      <c r="C9" s="259" t="str">
        <f>$AD$9</f>
        <v>PGT (Other)</v>
      </c>
      <c r="D9" s="260" t="s">
        <v>12</v>
      </c>
      <c r="E9" s="82">
        <v>98.51</v>
      </c>
      <c r="F9" s="406">
        <v>0</v>
      </c>
      <c r="G9" s="406">
        <v>0</v>
      </c>
      <c r="H9" s="406">
        <v>0</v>
      </c>
      <c r="I9" s="84">
        <v>0</v>
      </c>
      <c r="J9" s="261">
        <v>98.51</v>
      </c>
      <c r="K9" s="263">
        <v>108361</v>
      </c>
      <c r="L9" s="445">
        <v>0</v>
      </c>
      <c r="M9" s="445">
        <v>0</v>
      </c>
      <c r="N9" s="263">
        <v>13631.94</v>
      </c>
      <c r="P9" s="406">
        <v>0</v>
      </c>
      <c r="Q9" s="406">
        <v>0</v>
      </c>
      <c r="R9" s="406">
        <v>0</v>
      </c>
      <c r="S9" s="406">
        <v>0</v>
      </c>
      <c r="T9" s="406">
        <v>0</v>
      </c>
      <c r="U9" s="420">
        <v>0</v>
      </c>
      <c r="W9" s="70" t="s">
        <v>7</v>
      </c>
      <c r="X9" s="70" t="s">
        <v>2</v>
      </c>
      <c r="Y9" s="70" t="s">
        <v>47</v>
      </c>
      <c r="Z9" s="70" t="s">
        <v>23</v>
      </c>
      <c r="AB9" s="15"/>
      <c r="AD9" s="7" t="s">
        <v>275</v>
      </c>
    </row>
    <row r="10" spans="1:30" x14ac:dyDescent="0.3">
      <c r="A10" s="113"/>
      <c r="B10" s="264"/>
      <c r="C10" s="264"/>
      <c r="D10" s="265" t="s">
        <v>11</v>
      </c>
      <c r="E10" s="266">
        <v>173</v>
      </c>
      <c r="F10" s="439">
        <v>0</v>
      </c>
      <c r="G10" s="439">
        <v>0</v>
      </c>
      <c r="H10" s="439">
        <v>0</v>
      </c>
      <c r="I10" s="267">
        <v>0</v>
      </c>
      <c r="J10" s="268">
        <v>173</v>
      </c>
      <c r="K10" s="269">
        <v>190300</v>
      </c>
      <c r="L10" s="448">
        <v>0</v>
      </c>
      <c r="M10" s="448">
        <v>0</v>
      </c>
      <c r="N10" s="269">
        <v>112502</v>
      </c>
      <c r="P10" s="439">
        <v>0</v>
      </c>
      <c r="Q10" s="439">
        <v>0</v>
      </c>
      <c r="R10" s="439">
        <v>0</v>
      </c>
      <c r="S10" s="439">
        <v>0</v>
      </c>
      <c r="T10" s="439">
        <v>0</v>
      </c>
      <c r="U10" s="469">
        <v>0</v>
      </c>
      <c r="W10" s="70" t="s">
        <v>7</v>
      </c>
      <c r="X10" s="70" t="s">
        <v>2</v>
      </c>
      <c r="Y10" s="70" t="s">
        <v>47</v>
      </c>
      <c r="Z10" s="70" t="s">
        <v>24</v>
      </c>
      <c r="AB10" s="15"/>
    </row>
    <row r="11" spans="1:30" x14ac:dyDescent="0.3">
      <c r="A11" s="113"/>
      <c r="B11" s="113" t="s">
        <v>221</v>
      </c>
      <c r="C11" s="113" t="s">
        <v>6</v>
      </c>
      <c r="D11" s="252" t="s">
        <v>12</v>
      </c>
      <c r="E11" s="91">
        <v>30.72</v>
      </c>
      <c r="F11" s="412">
        <v>0</v>
      </c>
      <c r="G11" s="412">
        <v>0</v>
      </c>
      <c r="H11" s="92">
        <v>0.4</v>
      </c>
      <c r="I11" s="92">
        <v>-1.87</v>
      </c>
      <c r="J11" s="253">
        <v>29.25</v>
      </c>
      <c r="K11" s="444">
        <v>0</v>
      </c>
      <c r="L11" s="449">
        <v>0</v>
      </c>
      <c r="M11" s="449">
        <v>0</v>
      </c>
      <c r="N11" s="262">
        <v>0</v>
      </c>
      <c r="P11" s="412">
        <v>0</v>
      </c>
      <c r="Q11" s="92">
        <v>4.6500000000000004</v>
      </c>
      <c r="R11" s="92">
        <v>5.05</v>
      </c>
      <c r="S11" s="412">
        <v>0</v>
      </c>
      <c r="T11" s="412">
        <v>0</v>
      </c>
      <c r="U11" s="93">
        <v>0</v>
      </c>
      <c r="W11" s="70" t="s">
        <v>7</v>
      </c>
      <c r="X11" s="70" t="s">
        <v>1</v>
      </c>
      <c r="Y11" s="70" t="s">
        <v>6</v>
      </c>
      <c r="Z11" s="70" t="s">
        <v>23</v>
      </c>
      <c r="AB11" s="15"/>
    </row>
    <row r="12" spans="1:30" x14ac:dyDescent="0.3">
      <c r="A12" s="113"/>
      <c r="B12" s="113"/>
      <c r="C12" s="255"/>
      <c r="D12" s="256" t="s">
        <v>11</v>
      </c>
      <c r="E12" s="77">
        <v>9.17</v>
      </c>
      <c r="F12" s="405">
        <v>0</v>
      </c>
      <c r="G12" s="405">
        <v>0</v>
      </c>
      <c r="H12" s="78">
        <v>0</v>
      </c>
      <c r="I12" s="78">
        <v>0</v>
      </c>
      <c r="J12" s="257">
        <v>9.17</v>
      </c>
      <c r="K12" s="446">
        <v>0</v>
      </c>
      <c r="L12" s="447">
        <v>0</v>
      </c>
      <c r="M12" s="447">
        <v>0</v>
      </c>
      <c r="N12" s="258">
        <v>5308.29</v>
      </c>
      <c r="P12" s="405">
        <v>0</v>
      </c>
      <c r="Q12" s="78">
        <v>0</v>
      </c>
      <c r="R12" s="78">
        <v>0</v>
      </c>
      <c r="S12" s="405">
        <v>0</v>
      </c>
      <c r="T12" s="405">
        <v>0</v>
      </c>
      <c r="U12" s="79">
        <v>0</v>
      </c>
      <c r="W12" s="70" t="s">
        <v>7</v>
      </c>
      <c r="X12" s="70" t="s">
        <v>1</v>
      </c>
      <c r="Y12" s="70" t="s">
        <v>6</v>
      </c>
      <c r="Z12" s="70" t="s">
        <v>24</v>
      </c>
      <c r="AB12" s="15"/>
    </row>
    <row r="13" spans="1:30" x14ac:dyDescent="0.3">
      <c r="A13" s="113"/>
      <c r="B13" s="113"/>
      <c r="C13" s="259" t="str">
        <f>$AD$8</f>
        <v>PGT (Masters' loan)</v>
      </c>
      <c r="D13" s="260" t="s">
        <v>12</v>
      </c>
      <c r="E13" s="82">
        <v>0</v>
      </c>
      <c r="F13" s="406">
        <v>0</v>
      </c>
      <c r="G13" s="406">
        <v>0</v>
      </c>
      <c r="H13" s="406">
        <v>0</v>
      </c>
      <c r="I13" s="84">
        <v>0</v>
      </c>
      <c r="J13" s="261">
        <v>0</v>
      </c>
      <c r="K13" s="445">
        <v>0</v>
      </c>
      <c r="L13" s="445">
        <v>0</v>
      </c>
      <c r="M13" s="445">
        <v>0</v>
      </c>
      <c r="N13" s="263">
        <v>0</v>
      </c>
      <c r="P13" s="406">
        <v>0</v>
      </c>
      <c r="Q13" s="406">
        <v>0</v>
      </c>
      <c r="R13" s="406">
        <v>0</v>
      </c>
      <c r="S13" s="406">
        <v>0</v>
      </c>
      <c r="T13" s="406">
        <v>0</v>
      </c>
      <c r="U13" s="420">
        <v>0</v>
      </c>
      <c r="W13" s="70" t="s">
        <v>7</v>
      </c>
      <c r="X13" s="70" t="s">
        <v>1</v>
      </c>
      <c r="Y13" s="70" t="s">
        <v>46</v>
      </c>
      <c r="Z13" s="70" t="s">
        <v>23</v>
      </c>
      <c r="AB13" s="15"/>
    </row>
    <row r="14" spans="1:30" x14ac:dyDescent="0.3">
      <c r="A14" s="113"/>
      <c r="B14" s="113"/>
      <c r="C14" s="255"/>
      <c r="D14" s="256" t="s">
        <v>11</v>
      </c>
      <c r="E14" s="77">
        <v>429.04</v>
      </c>
      <c r="F14" s="405">
        <v>0</v>
      </c>
      <c r="G14" s="405">
        <v>0</v>
      </c>
      <c r="H14" s="405">
        <v>0</v>
      </c>
      <c r="I14" s="78">
        <v>0</v>
      </c>
      <c r="J14" s="257">
        <v>429.04</v>
      </c>
      <c r="K14" s="447">
        <v>0</v>
      </c>
      <c r="L14" s="447">
        <v>0</v>
      </c>
      <c r="M14" s="447">
        <v>0</v>
      </c>
      <c r="N14" s="258">
        <v>255740.27</v>
      </c>
      <c r="P14" s="405">
        <v>0</v>
      </c>
      <c r="Q14" s="405">
        <v>0</v>
      </c>
      <c r="R14" s="405">
        <v>0</v>
      </c>
      <c r="S14" s="405">
        <v>0</v>
      </c>
      <c r="T14" s="405">
        <v>0</v>
      </c>
      <c r="U14" s="418">
        <v>0</v>
      </c>
      <c r="W14" s="70" t="s">
        <v>7</v>
      </c>
      <c r="X14" s="70" t="s">
        <v>1</v>
      </c>
      <c r="Y14" s="70" t="s">
        <v>46</v>
      </c>
      <c r="Z14" s="70" t="s">
        <v>24</v>
      </c>
      <c r="AB14" s="15"/>
    </row>
    <row r="15" spans="1:30" x14ac:dyDescent="0.3">
      <c r="A15" s="113"/>
      <c r="B15" s="113"/>
      <c r="C15" s="259" t="str">
        <f>$AD$9</f>
        <v>PGT (Other)</v>
      </c>
      <c r="D15" s="260" t="s">
        <v>12</v>
      </c>
      <c r="E15" s="82">
        <v>168</v>
      </c>
      <c r="F15" s="406">
        <v>0</v>
      </c>
      <c r="G15" s="406">
        <v>0</v>
      </c>
      <c r="H15" s="406">
        <v>0</v>
      </c>
      <c r="I15" s="84">
        <v>0</v>
      </c>
      <c r="J15" s="261">
        <v>168</v>
      </c>
      <c r="K15" s="263">
        <v>184800</v>
      </c>
      <c r="L15" s="445">
        <v>0</v>
      </c>
      <c r="M15" s="445">
        <v>0</v>
      </c>
      <c r="N15" s="263">
        <v>78603.05</v>
      </c>
      <c r="P15" s="406">
        <v>0</v>
      </c>
      <c r="Q15" s="406">
        <v>0</v>
      </c>
      <c r="R15" s="406">
        <v>0</v>
      </c>
      <c r="S15" s="406">
        <v>0</v>
      </c>
      <c r="T15" s="406">
        <v>0</v>
      </c>
      <c r="U15" s="420">
        <v>0</v>
      </c>
      <c r="W15" s="70" t="s">
        <v>7</v>
      </c>
      <c r="X15" s="70" t="s">
        <v>1</v>
      </c>
      <c r="Y15" s="70" t="s">
        <v>47</v>
      </c>
      <c r="Z15" s="70" t="s">
        <v>23</v>
      </c>
      <c r="AB15" s="15"/>
    </row>
    <row r="16" spans="1:30" x14ac:dyDescent="0.3">
      <c r="A16" s="270"/>
      <c r="B16" s="270"/>
      <c r="C16" s="270"/>
      <c r="D16" s="178" t="s">
        <v>11</v>
      </c>
      <c r="E16" s="88">
        <v>79.42</v>
      </c>
      <c r="F16" s="407">
        <v>0</v>
      </c>
      <c r="G16" s="407">
        <v>0</v>
      </c>
      <c r="H16" s="407">
        <v>0</v>
      </c>
      <c r="I16" s="89">
        <v>0</v>
      </c>
      <c r="J16" s="271">
        <v>79.42</v>
      </c>
      <c r="K16" s="258">
        <v>87362</v>
      </c>
      <c r="L16" s="447">
        <v>0</v>
      </c>
      <c r="M16" s="450">
        <v>0</v>
      </c>
      <c r="N16" s="258">
        <v>50119.89</v>
      </c>
      <c r="P16" s="407">
        <v>0</v>
      </c>
      <c r="Q16" s="407">
        <v>0</v>
      </c>
      <c r="R16" s="407">
        <v>0</v>
      </c>
      <c r="S16" s="407">
        <v>0</v>
      </c>
      <c r="T16" s="407">
        <v>0</v>
      </c>
      <c r="U16" s="419">
        <v>0</v>
      </c>
      <c r="W16" s="70" t="s">
        <v>7</v>
      </c>
      <c r="X16" s="70" t="s">
        <v>1</v>
      </c>
      <c r="Y16" s="70" t="s">
        <v>47</v>
      </c>
      <c r="Z16" s="70" t="s">
        <v>24</v>
      </c>
      <c r="AB16" s="15"/>
    </row>
    <row r="17" spans="1:28" x14ac:dyDescent="0.3">
      <c r="A17" s="251" t="s">
        <v>8</v>
      </c>
      <c r="B17" s="251" t="s">
        <v>217</v>
      </c>
      <c r="C17" s="113" t="s">
        <v>6</v>
      </c>
      <c r="D17" s="252" t="s">
        <v>12</v>
      </c>
      <c r="E17" s="91">
        <v>207139.04</v>
      </c>
      <c r="F17" s="92">
        <v>5992</v>
      </c>
      <c r="G17" s="412">
        <v>0</v>
      </c>
      <c r="H17" s="412">
        <v>0</v>
      </c>
      <c r="I17" s="92">
        <v>1237.4000000000001</v>
      </c>
      <c r="J17" s="253">
        <v>214368.44</v>
      </c>
      <c r="K17" s="451">
        <v>0</v>
      </c>
      <c r="L17" s="452">
        <v>0</v>
      </c>
      <c r="M17" s="452">
        <v>0</v>
      </c>
      <c r="N17" s="254">
        <v>14258318.9</v>
      </c>
      <c r="P17" s="92">
        <v>6767</v>
      </c>
      <c r="Q17" s="92">
        <v>7926</v>
      </c>
      <c r="R17" s="92">
        <v>20685</v>
      </c>
      <c r="S17" s="412">
        <v>0</v>
      </c>
      <c r="T17" s="452">
        <v>0</v>
      </c>
      <c r="U17" s="93">
        <v>1245309</v>
      </c>
      <c r="W17" s="70" t="s">
        <v>8</v>
      </c>
      <c r="X17" s="70" t="s">
        <v>2</v>
      </c>
      <c r="Y17" s="70" t="s">
        <v>6</v>
      </c>
      <c r="Z17" s="70" t="s">
        <v>23</v>
      </c>
      <c r="AB17" s="15"/>
    </row>
    <row r="18" spans="1:28" x14ac:dyDescent="0.3">
      <c r="A18" s="113"/>
      <c r="B18" s="113"/>
      <c r="C18" s="255"/>
      <c r="D18" s="256" t="s">
        <v>11</v>
      </c>
      <c r="E18" s="77">
        <v>467.77</v>
      </c>
      <c r="F18" s="78">
        <v>0</v>
      </c>
      <c r="G18" s="405">
        <v>0</v>
      </c>
      <c r="H18" s="405">
        <v>0</v>
      </c>
      <c r="I18" s="78">
        <v>0</v>
      </c>
      <c r="J18" s="257">
        <v>467.77</v>
      </c>
      <c r="K18" s="446">
        <v>0</v>
      </c>
      <c r="L18" s="447">
        <v>0</v>
      </c>
      <c r="M18" s="258">
        <v>672919.67372580001</v>
      </c>
      <c r="N18" s="258">
        <v>63703.5</v>
      </c>
      <c r="P18" s="78">
        <v>0</v>
      </c>
      <c r="Q18" s="78">
        <v>0</v>
      </c>
      <c r="R18" s="78">
        <v>0</v>
      </c>
      <c r="S18" s="405">
        <v>0</v>
      </c>
      <c r="T18" s="79">
        <v>0</v>
      </c>
      <c r="U18" s="79">
        <v>0</v>
      </c>
      <c r="W18" s="70" t="s">
        <v>8</v>
      </c>
      <c r="X18" s="70" t="s">
        <v>2</v>
      </c>
      <c r="Y18" s="70" t="s">
        <v>6</v>
      </c>
      <c r="Z18" s="70" t="s">
        <v>24</v>
      </c>
      <c r="AB18" s="15"/>
    </row>
    <row r="19" spans="1:28" x14ac:dyDescent="0.3">
      <c r="A19" s="113"/>
      <c r="B19" s="113"/>
      <c r="C19" s="259" t="str">
        <f>$AD$7</f>
        <v>PGT (UG fee)</v>
      </c>
      <c r="D19" s="252" t="s">
        <v>12</v>
      </c>
      <c r="E19" s="82">
        <v>1255</v>
      </c>
      <c r="F19" s="406">
        <v>0</v>
      </c>
      <c r="G19" s="84">
        <v>917</v>
      </c>
      <c r="H19" s="406">
        <v>0</v>
      </c>
      <c r="I19" s="84">
        <v>0</v>
      </c>
      <c r="J19" s="261">
        <v>2172</v>
      </c>
      <c r="K19" s="444">
        <v>0</v>
      </c>
      <c r="L19" s="445">
        <v>0</v>
      </c>
      <c r="M19" s="445">
        <v>0</v>
      </c>
      <c r="N19" s="262">
        <v>302816</v>
      </c>
      <c r="P19" s="406">
        <v>0</v>
      </c>
      <c r="Q19" s="84">
        <v>1112</v>
      </c>
      <c r="R19" s="84">
        <v>2029</v>
      </c>
      <c r="S19" s="406">
        <v>0</v>
      </c>
      <c r="T19" s="406">
        <v>0</v>
      </c>
      <c r="U19" s="85">
        <v>302741</v>
      </c>
      <c r="W19" s="70" t="s">
        <v>8</v>
      </c>
      <c r="X19" s="70" t="s">
        <v>2</v>
      </c>
      <c r="Y19" s="70" t="s">
        <v>33</v>
      </c>
      <c r="Z19" s="70" t="s">
        <v>23</v>
      </c>
      <c r="AB19" s="15"/>
    </row>
    <row r="20" spans="1:28" x14ac:dyDescent="0.3">
      <c r="A20" s="113"/>
      <c r="B20" s="113"/>
      <c r="C20" s="255"/>
      <c r="D20" s="256" t="s">
        <v>11</v>
      </c>
      <c r="E20" s="77">
        <v>23</v>
      </c>
      <c r="F20" s="405">
        <v>0</v>
      </c>
      <c r="G20" s="78">
        <v>0</v>
      </c>
      <c r="H20" s="405">
        <v>0</v>
      </c>
      <c r="I20" s="78">
        <v>0</v>
      </c>
      <c r="J20" s="257">
        <v>23</v>
      </c>
      <c r="K20" s="446">
        <v>0</v>
      </c>
      <c r="L20" s="258">
        <v>25486.139459999999</v>
      </c>
      <c r="M20" s="447">
        <v>0</v>
      </c>
      <c r="N20" s="258">
        <v>0</v>
      </c>
      <c r="P20" s="405">
        <v>0</v>
      </c>
      <c r="Q20" s="78">
        <v>22</v>
      </c>
      <c r="R20" s="78">
        <v>22</v>
      </c>
      <c r="S20" s="79">
        <v>24378.046439999998</v>
      </c>
      <c r="T20" s="405">
        <v>0</v>
      </c>
      <c r="U20" s="79">
        <v>0</v>
      </c>
      <c r="W20" s="70" t="s">
        <v>8</v>
      </c>
      <c r="X20" s="70" t="s">
        <v>2</v>
      </c>
      <c r="Y20" s="70" t="s">
        <v>33</v>
      </c>
      <c r="Z20" s="70" t="s">
        <v>24</v>
      </c>
      <c r="AB20" s="15"/>
    </row>
    <row r="21" spans="1:28" x14ac:dyDescent="0.3">
      <c r="A21" s="113"/>
      <c r="B21" s="113"/>
      <c r="C21" s="259" t="str">
        <f>$AD$8</f>
        <v>PGT (Masters' loan)</v>
      </c>
      <c r="D21" s="260" t="s">
        <v>12</v>
      </c>
      <c r="E21" s="82">
        <v>747.14</v>
      </c>
      <c r="F21" s="406">
        <v>0</v>
      </c>
      <c r="G21" s="406">
        <v>0</v>
      </c>
      <c r="H21" s="406">
        <v>0</v>
      </c>
      <c r="I21" s="84">
        <v>0</v>
      </c>
      <c r="J21" s="261">
        <v>747.14</v>
      </c>
      <c r="K21" s="445">
        <v>0</v>
      </c>
      <c r="L21" s="444">
        <v>0</v>
      </c>
      <c r="M21" s="445">
        <v>0</v>
      </c>
      <c r="N21" s="262">
        <v>65322.65</v>
      </c>
      <c r="P21" s="406">
        <v>0</v>
      </c>
      <c r="Q21" s="406">
        <v>0</v>
      </c>
      <c r="R21" s="406">
        <v>0</v>
      </c>
      <c r="S21" s="406">
        <v>0</v>
      </c>
      <c r="T21" s="406">
        <v>0</v>
      </c>
      <c r="U21" s="420">
        <v>0</v>
      </c>
      <c r="W21" s="70" t="s">
        <v>8</v>
      </c>
      <c r="X21" s="70" t="s">
        <v>2</v>
      </c>
      <c r="Y21" s="70" t="s">
        <v>46</v>
      </c>
      <c r="Z21" s="70" t="s">
        <v>23</v>
      </c>
    </row>
    <row r="22" spans="1:28" x14ac:dyDescent="0.3">
      <c r="A22" s="113"/>
      <c r="B22" s="113"/>
      <c r="C22" s="255"/>
      <c r="D22" s="256" t="s">
        <v>11</v>
      </c>
      <c r="E22" s="77">
        <v>8958.49</v>
      </c>
      <c r="F22" s="405">
        <v>0</v>
      </c>
      <c r="G22" s="405">
        <v>0</v>
      </c>
      <c r="H22" s="405">
        <v>0</v>
      </c>
      <c r="I22" s="78">
        <v>0</v>
      </c>
      <c r="J22" s="257">
        <v>8958.49</v>
      </c>
      <c r="K22" s="447">
        <v>0</v>
      </c>
      <c r="L22" s="258">
        <v>9926840.2387397997</v>
      </c>
      <c r="M22" s="447">
        <v>0</v>
      </c>
      <c r="N22" s="258">
        <v>1208523.1599999999</v>
      </c>
      <c r="P22" s="405">
        <v>0</v>
      </c>
      <c r="Q22" s="405">
        <v>0</v>
      </c>
      <c r="R22" s="405">
        <v>0</v>
      </c>
      <c r="S22" s="405">
        <v>0</v>
      </c>
      <c r="T22" s="405">
        <v>0</v>
      </c>
      <c r="U22" s="418">
        <v>0</v>
      </c>
      <c r="W22" s="70" t="s">
        <v>8</v>
      </c>
      <c r="X22" s="70" t="s">
        <v>2</v>
      </c>
      <c r="Y22" s="70" t="s">
        <v>46</v>
      </c>
      <c r="Z22" s="70" t="s">
        <v>24</v>
      </c>
    </row>
    <row r="23" spans="1:28" x14ac:dyDescent="0.3">
      <c r="A23" s="113"/>
      <c r="B23" s="113"/>
      <c r="C23" s="259" t="str">
        <f>$AD$9</f>
        <v>PGT (Other)</v>
      </c>
      <c r="D23" s="260" t="s">
        <v>12</v>
      </c>
      <c r="E23" s="82">
        <v>346.28</v>
      </c>
      <c r="F23" s="406">
        <v>0</v>
      </c>
      <c r="G23" s="406">
        <v>0</v>
      </c>
      <c r="H23" s="406">
        <v>0</v>
      </c>
      <c r="I23" s="84">
        <v>0</v>
      </c>
      <c r="J23" s="261">
        <v>346.28</v>
      </c>
      <c r="K23" s="263">
        <v>380908</v>
      </c>
      <c r="L23" s="445">
        <v>0</v>
      </c>
      <c r="M23" s="445">
        <v>0</v>
      </c>
      <c r="N23" s="263">
        <v>6263.55</v>
      </c>
      <c r="P23" s="406">
        <v>0</v>
      </c>
      <c r="Q23" s="406">
        <v>0</v>
      </c>
      <c r="R23" s="406">
        <v>0</v>
      </c>
      <c r="S23" s="406">
        <v>0</v>
      </c>
      <c r="T23" s="406">
        <v>0</v>
      </c>
      <c r="U23" s="420">
        <v>0</v>
      </c>
      <c r="W23" s="70" t="s">
        <v>8</v>
      </c>
      <c r="X23" s="70" t="s">
        <v>2</v>
      </c>
      <c r="Y23" s="70" t="s">
        <v>47</v>
      </c>
      <c r="Z23" s="70" t="s">
        <v>23</v>
      </c>
    </row>
    <row r="24" spans="1:28" x14ac:dyDescent="0.3">
      <c r="A24" s="113"/>
      <c r="B24" s="264"/>
      <c r="C24" s="264"/>
      <c r="D24" s="265" t="s">
        <v>11</v>
      </c>
      <c r="E24" s="266">
        <v>222.08</v>
      </c>
      <c r="F24" s="439">
        <v>0</v>
      </c>
      <c r="G24" s="439">
        <v>0</v>
      </c>
      <c r="H24" s="439">
        <v>0</v>
      </c>
      <c r="I24" s="267">
        <v>2</v>
      </c>
      <c r="J24" s="268">
        <v>224.08</v>
      </c>
      <c r="K24" s="269">
        <v>246488</v>
      </c>
      <c r="L24" s="269">
        <v>248301.48392160001</v>
      </c>
      <c r="M24" s="448">
        <v>0</v>
      </c>
      <c r="N24" s="269">
        <v>0</v>
      </c>
      <c r="P24" s="439">
        <v>0</v>
      </c>
      <c r="Q24" s="439">
        <v>0</v>
      </c>
      <c r="R24" s="439">
        <v>0</v>
      </c>
      <c r="S24" s="439">
        <v>0</v>
      </c>
      <c r="T24" s="439">
        <v>0</v>
      </c>
      <c r="U24" s="469">
        <v>0</v>
      </c>
      <c r="W24" s="70" t="s">
        <v>8</v>
      </c>
      <c r="X24" s="70" t="s">
        <v>2</v>
      </c>
      <c r="Y24" s="70" t="s">
        <v>47</v>
      </c>
      <c r="Z24" s="70" t="s">
        <v>24</v>
      </c>
    </row>
    <row r="25" spans="1:28" x14ac:dyDescent="0.3">
      <c r="A25" s="113"/>
      <c r="B25" s="113" t="s">
        <v>221</v>
      </c>
      <c r="C25" s="113" t="s">
        <v>6</v>
      </c>
      <c r="D25" s="252" t="s">
        <v>12</v>
      </c>
      <c r="E25" s="91">
        <v>16216.57</v>
      </c>
      <c r="F25" s="92">
        <v>118.25</v>
      </c>
      <c r="G25" s="412">
        <v>0</v>
      </c>
      <c r="H25" s="412">
        <v>0</v>
      </c>
      <c r="I25" s="92">
        <v>2.2200000000000002</v>
      </c>
      <c r="J25" s="253">
        <v>16337.04</v>
      </c>
      <c r="K25" s="444">
        <v>0</v>
      </c>
      <c r="L25" s="449">
        <v>0</v>
      </c>
      <c r="M25" s="449">
        <v>0</v>
      </c>
      <c r="N25" s="262">
        <v>588275.13</v>
      </c>
      <c r="P25" s="92">
        <v>85.51</v>
      </c>
      <c r="Q25" s="92">
        <v>144.41999999999999</v>
      </c>
      <c r="R25" s="92">
        <v>348.18</v>
      </c>
      <c r="S25" s="412">
        <v>0</v>
      </c>
      <c r="T25" s="412">
        <v>0</v>
      </c>
      <c r="U25" s="93">
        <v>24321.01</v>
      </c>
      <c r="W25" s="70" t="s">
        <v>8</v>
      </c>
      <c r="X25" s="70" t="s">
        <v>1</v>
      </c>
      <c r="Y25" s="70" t="s">
        <v>6</v>
      </c>
      <c r="Z25" s="70" t="s">
        <v>23</v>
      </c>
    </row>
    <row r="26" spans="1:28" x14ac:dyDescent="0.3">
      <c r="A26" s="113"/>
      <c r="B26" s="113"/>
      <c r="C26" s="255"/>
      <c r="D26" s="256" t="s">
        <v>11</v>
      </c>
      <c r="E26" s="77">
        <v>27.73</v>
      </c>
      <c r="F26" s="78">
        <v>0</v>
      </c>
      <c r="G26" s="405">
        <v>0</v>
      </c>
      <c r="H26" s="405">
        <v>0</v>
      </c>
      <c r="I26" s="78">
        <v>0</v>
      </c>
      <c r="J26" s="257">
        <v>27.73</v>
      </c>
      <c r="K26" s="446">
        <v>0</v>
      </c>
      <c r="L26" s="447">
        <v>0</v>
      </c>
      <c r="M26" s="447">
        <v>0</v>
      </c>
      <c r="N26" s="258">
        <v>1691</v>
      </c>
      <c r="P26" s="78">
        <v>0</v>
      </c>
      <c r="Q26" s="78">
        <v>0</v>
      </c>
      <c r="R26" s="78">
        <v>0</v>
      </c>
      <c r="S26" s="405">
        <v>0</v>
      </c>
      <c r="T26" s="405">
        <v>0</v>
      </c>
      <c r="U26" s="79">
        <v>0</v>
      </c>
      <c r="W26" s="70" t="s">
        <v>8</v>
      </c>
      <c r="X26" s="70" t="s">
        <v>1</v>
      </c>
      <c r="Y26" s="70" t="s">
        <v>6</v>
      </c>
      <c r="Z26" s="70" t="s">
        <v>24</v>
      </c>
    </row>
    <row r="27" spans="1:28" x14ac:dyDescent="0.3">
      <c r="A27" s="113"/>
      <c r="B27" s="113"/>
      <c r="C27" s="259" t="str">
        <f>$AD$7</f>
        <v>PGT (UG fee)</v>
      </c>
      <c r="D27" s="252" t="s">
        <v>12</v>
      </c>
      <c r="E27" s="82">
        <v>4.12</v>
      </c>
      <c r="F27" s="406">
        <v>0</v>
      </c>
      <c r="G27" s="84">
        <v>7.09</v>
      </c>
      <c r="H27" s="406">
        <v>0</v>
      </c>
      <c r="I27" s="84">
        <v>0</v>
      </c>
      <c r="J27" s="261">
        <v>11.21</v>
      </c>
      <c r="K27" s="453">
        <v>0</v>
      </c>
      <c r="L27" s="445">
        <v>0</v>
      </c>
      <c r="M27" s="445">
        <v>0</v>
      </c>
      <c r="N27" s="263">
        <v>1998.05</v>
      </c>
      <c r="P27" s="406">
        <v>0</v>
      </c>
      <c r="Q27" s="84">
        <v>2.33</v>
      </c>
      <c r="R27" s="84">
        <v>9.42</v>
      </c>
      <c r="S27" s="406">
        <v>0</v>
      </c>
      <c r="T27" s="406">
        <v>0</v>
      </c>
      <c r="U27" s="85">
        <v>1935.75</v>
      </c>
      <c r="W27" s="70" t="s">
        <v>8</v>
      </c>
      <c r="X27" s="70" t="s">
        <v>1</v>
      </c>
      <c r="Y27" s="70" t="s">
        <v>33</v>
      </c>
      <c r="Z27" s="70" t="s">
        <v>23</v>
      </c>
    </row>
    <row r="28" spans="1:28" x14ac:dyDescent="0.3">
      <c r="A28" s="113"/>
      <c r="B28" s="113"/>
      <c r="C28" s="255"/>
      <c r="D28" s="256" t="s">
        <v>11</v>
      </c>
      <c r="E28" s="77">
        <v>0.33</v>
      </c>
      <c r="F28" s="405">
        <v>0</v>
      </c>
      <c r="G28" s="78">
        <v>0</v>
      </c>
      <c r="H28" s="405">
        <v>0</v>
      </c>
      <c r="I28" s="78">
        <v>0</v>
      </c>
      <c r="J28" s="257">
        <v>0.33</v>
      </c>
      <c r="K28" s="446">
        <v>0</v>
      </c>
      <c r="L28" s="258">
        <v>365.67069659999999</v>
      </c>
      <c r="M28" s="447">
        <v>0</v>
      </c>
      <c r="N28" s="258">
        <v>0</v>
      </c>
      <c r="P28" s="405">
        <v>0</v>
      </c>
      <c r="Q28" s="78">
        <v>0</v>
      </c>
      <c r="R28" s="78">
        <v>0</v>
      </c>
      <c r="S28" s="79">
        <v>0</v>
      </c>
      <c r="T28" s="405">
        <v>0</v>
      </c>
      <c r="U28" s="79">
        <v>0</v>
      </c>
      <c r="W28" s="70" t="s">
        <v>8</v>
      </c>
      <c r="X28" s="70" t="s">
        <v>1</v>
      </c>
      <c r="Y28" s="70" t="s">
        <v>33</v>
      </c>
      <c r="Z28" s="70" t="s">
        <v>24</v>
      </c>
    </row>
    <row r="29" spans="1:28" x14ac:dyDescent="0.3">
      <c r="A29" s="113"/>
      <c r="B29" s="113"/>
      <c r="C29" s="259" t="str">
        <f>$AD$8</f>
        <v>PGT (Masters' loan)</v>
      </c>
      <c r="D29" s="260" t="s">
        <v>12</v>
      </c>
      <c r="E29" s="82">
        <v>403.11</v>
      </c>
      <c r="F29" s="406">
        <v>0</v>
      </c>
      <c r="G29" s="406">
        <v>0</v>
      </c>
      <c r="H29" s="406">
        <v>0</v>
      </c>
      <c r="I29" s="84">
        <v>0</v>
      </c>
      <c r="J29" s="261">
        <v>403.11</v>
      </c>
      <c r="K29" s="445">
        <v>0</v>
      </c>
      <c r="L29" s="444">
        <v>0</v>
      </c>
      <c r="M29" s="445">
        <v>0</v>
      </c>
      <c r="N29" s="263">
        <v>23104.93</v>
      </c>
      <c r="P29" s="406">
        <v>0</v>
      </c>
      <c r="Q29" s="406">
        <v>0</v>
      </c>
      <c r="R29" s="406">
        <v>0</v>
      </c>
      <c r="S29" s="406">
        <v>0</v>
      </c>
      <c r="T29" s="406">
        <v>0</v>
      </c>
      <c r="U29" s="420">
        <v>0</v>
      </c>
      <c r="W29" s="70" t="s">
        <v>8</v>
      </c>
      <c r="X29" s="70" t="s">
        <v>1</v>
      </c>
      <c r="Y29" s="70" t="s">
        <v>46</v>
      </c>
      <c r="Z29" s="70" t="s">
        <v>23</v>
      </c>
    </row>
    <row r="30" spans="1:28" x14ac:dyDescent="0.3">
      <c r="A30" s="113"/>
      <c r="B30" s="113"/>
      <c r="C30" s="255"/>
      <c r="D30" s="256" t="s">
        <v>11</v>
      </c>
      <c r="E30" s="77">
        <v>2057.7199999999998</v>
      </c>
      <c r="F30" s="405">
        <v>0</v>
      </c>
      <c r="G30" s="405">
        <v>0</v>
      </c>
      <c r="H30" s="405">
        <v>0</v>
      </c>
      <c r="I30" s="78">
        <v>2.59</v>
      </c>
      <c r="J30" s="257">
        <v>2060.31</v>
      </c>
      <c r="K30" s="447">
        <v>0</v>
      </c>
      <c r="L30" s="258">
        <v>2283015.1300361999</v>
      </c>
      <c r="M30" s="447">
        <v>0</v>
      </c>
      <c r="N30" s="258">
        <v>284333.18</v>
      </c>
      <c r="P30" s="405">
        <v>0</v>
      </c>
      <c r="Q30" s="405">
        <v>0</v>
      </c>
      <c r="R30" s="405">
        <v>0</v>
      </c>
      <c r="S30" s="405">
        <v>0</v>
      </c>
      <c r="T30" s="405">
        <v>0</v>
      </c>
      <c r="U30" s="418">
        <v>0</v>
      </c>
      <c r="W30" s="70" t="s">
        <v>8</v>
      </c>
      <c r="X30" s="70" t="s">
        <v>1</v>
      </c>
      <c r="Y30" s="70" t="s">
        <v>46</v>
      </c>
      <c r="Z30" s="70" t="s">
        <v>24</v>
      </c>
    </row>
    <row r="31" spans="1:28" x14ac:dyDescent="0.3">
      <c r="A31" s="113"/>
      <c r="B31" s="113"/>
      <c r="C31" s="259" t="str">
        <f>$AD$9</f>
        <v>PGT (Other)</v>
      </c>
      <c r="D31" s="260" t="s">
        <v>12</v>
      </c>
      <c r="E31" s="82">
        <v>1083.92</v>
      </c>
      <c r="F31" s="406">
        <v>0</v>
      </c>
      <c r="G31" s="406">
        <v>0</v>
      </c>
      <c r="H31" s="406">
        <v>0</v>
      </c>
      <c r="I31" s="84">
        <v>0</v>
      </c>
      <c r="J31" s="261">
        <v>1083.92</v>
      </c>
      <c r="K31" s="263">
        <v>1192312</v>
      </c>
      <c r="L31" s="445">
        <v>0</v>
      </c>
      <c r="M31" s="445">
        <v>0</v>
      </c>
      <c r="N31" s="263">
        <v>70920.27</v>
      </c>
      <c r="P31" s="406">
        <v>0</v>
      </c>
      <c r="Q31" s="406">
        <v>0</v>
      </c>
      <c r="R31" s="406">
        <v>0</v>
      </c>
      <c r="S31" s="406">
        <v>0</v>
      </c>
      <c r="T31" s="406">
        <v>0</v>
      </c>
      <c r="U31" s="420">
        <v>0</v>
      </c>
      <c r="W31" s="70" t="s">
        <v>8</v>
      </c>
      <c r="X31" s="70" t="s">
        <v>1</v>
      </c>
      <c r="Y31" s="70" t="s">
        <v>47</v>
      </c>
      <c r="Z31" s="70" t="s">
        <v>23</v>
      </c>
    </row>
    <row r="32" spans="1:28" x14ac:dyDescent="0.3">
      <c r="A32" s="270"/>
      <c r="B32" s="270"/>
      <c r="C32" s="270"/>
      <c r="D32" s="178" t="s">
        <v>11</v>
      </c>
      <c r="E32" s="88">
        <v>747.47</v>
      </c>
      <c r="F32" s="407">
        <v>0</v>
      </c>
      <c r="G32" s="407">
        <v>0</v>
      </c>
      <c r="H32" s="407">
        <v>0</v>
      </c>
      <c r="I32" s="89">
        <v>0.21</v>
      </c>
      <c r="J32" s="271">
        <v>747.68</v>
      </c>
      <c r="K32" s="272">
        <v>822448</v>
      </c>
      <c r="L32" s="272">
        <v>828498.98919360002</v>
      </c>
      <c r="M32" s="450">
        <v>0</v>
      </c>
      <c r="N32" s="258">
        <v>106145.37</v>
      </c>
      <c r="P32" s="407">
        <v>0</v>
      </c>
      <c r="Q32" s="407">
        <v>0</v>
      </c>
      <c r="R32" s="407">
        <v>0</v>
      </c>
      <c r="S32" s="407">
        <v>0</v>
      </c>
      <c r="T32" s="407">
        <v>0</v>
      </c>
      <c r="U32" s="419">
        <v>0</v>
      </c>
      <c r="W32" s="70" t="s">
        <v>8</v>
      </c>
      <c r="X32" s="70" t="s">
        <v>1</v>
      </c>
      <c r="Y32" s="70" t="s">
        <v>47</v>
      </c>
      <c r="Z32" s="70" t="s">
        <v>24</v>
      </c>
    </row>
    <row r="33" spans="1:26" x14ac:dyDescent="0.3">
      <c r="A33" s="251" t="s">
        <v>26</v>
      </c>
      <c r="B33" s="113" t="s">
        <v>217</v>
      </c>
      <c r="C33" s="113" t="s">
        <v>6</v>
      </c>
      <c r="D33" s="252" t="s">
        <v>12</v>
      </c>
      <c r="E33" s="91">
        <v>215292.65</v>
      </c>
      <c r="F33" s="92">
        <v>14596</v>
      </c>
      <c r="G33" s="412">
        <v>0</v>
      </c>
      <c r="H33" s="412">
        <v>0</v>
      </c>
      <c r="I33" s="92">
        <v>-34.409999999999997</v>
      </c>
      <c r="J33" s="253">
        <v>229854.24</v>
      </c>
      <c r="K33" s="451">
        <v>0</v>
      </c>
      <c r="L33" s="452">
        <v>0</v>
      </c>
      <c r="M33" s="452">
        <v>0</v>
      </c>
      <c r="N33" s="254">
        <v>13362674.050000001</v>
      </c>
      <c r="P33" s="92">
        <v>13520</v>
      </c>
      <c r="Q33" s="92">
        <v>16427</v>
      </c>
      <c r="R33" s="92">
        <v>44543</v>
      </c>
      <c r="S33" s="452">
        <v>0</v>
      </c>
      <c r="T33" s="412">
        <v>0</v>
      </c>
      <c r="U33" s="93">
        <v>1591967</v>
      </c>
      <c r="W33" s="70" t="s">
        <v>26</v>
      </c>
      <c r="X33" s="70" t="s">
        <v>2</v>
      </c>
      <c r="Y33" s="70" t="s">
        <v>6</v>
      </c>
      <c r="Z33" s="70" t="s">
        <v>23</v>
      </c>
    </row>
    <row r="34" spans="1:26" x14ac:dyDescent="0.3">
      <c r="A34" s="113"/>
      <c r="B34" s="113"/>
      <c r="C34" s="255"/>
      <c r="D34" s="256" t="s">
        <v>11</v>
      </c>
      <c r="E34" s="77">
        <v>1652.37</v>
      </c>
      <c r="F34" s="78">
        <v>0</v>
      </c>
      <c r="G34" s="405">
        <v>0</v>
      </c>
      <c r="H34" s="405">
        <v>0</v>
      </c>
      <c r="I34" s="78">
        <v>0</v>
      </c>
      <c r="J34" s="257">
        <v>1652.37</v>
      </c>
      <c r="K34" s="446">
        <v>0</v>
      </c>
      <c r="L34" s="447">
        <v>0</v>
      </c>
      <c r="M34" s="258">
        <v>1817743.4692383001</v>
      </c>
      <c r="N34" s="258">
        <v>59233.31</v>
      </c>
      <c r="P34" s="78">
        <v>0</v>
      </c>
      <c r="Q34" s="78">
        <v>0</v>
      </c>
      <c r="R34" s="78">
        <v>0</v>
      </c>
      <c r="S34" s="447">
        <v>0</v>
      </c>
      <c r="T34" s="79">
        <v>0</v>
      </c>
      <c r="U34" s="79">
        <v>0</v>
      </c>
      <c r="W34" s="70" t="s">
        <v>26</v>
      </c>
      <c r="X34" s="70" t="s">
        <v>2</v>
      </c>
      <c r="Y34" s="70" t="s">
        <v>6</v>
      </c>
      <c r="Z34" s="70" t="s">
        <v>24</v>
      </c>
    </row>
    <row r="35" spans="1:26" x14ac:dyDescent="0.3">
      <c r="A35" s="113"/>
      <c r="B35" s="113"/>
      <c r="C35" s="259" t="str">
        <f>$AD$7</f>
        <v>PGT (UG fee)</v>
      </c>
      <c r="D35" s="252" t="s">
        <v>12</v>
      </c>
      <c r="E35" s="82">
        <v>1104</v>
      </c>
      <c r="F35" s="406">
        <v>0</v>
      </c>
      <c r="G35" s="84">
        <v>1239</v>
      </c>
      <c r="H35" s="406">
        <v>0</v>
      </c>
      <c r="I35" s="84">
        <v>0</v>
      </c>
      <c r="J35" s="261">
        <v>2343</v>
      </c>
      <c r="K35" s="444">
        <v>0</v>
      </c>
      <c r="L35" s="445">
        <v>0</v>
      </c>
      <c r="M35" s="445">
        <v>0</v>
      </c>
      <c r="N35" s="262">
        <v>281425</v>
      </c>
      <c r="P35" s="406">
        <v>0</v>
      </c>
      <c r="Q35" s="84">
        <v>1092</v>
      </c>
      <c r="R35" s="84">
        <v>2331</v>
      </c>
      <c r="S35" s="445">
        <v>0</v>
      </c>
      <c r="T35" s="406">
        <v>0</v>
      </c>
      <c r="U35" s="85">
        <v>277333</v>
      </c>
      <c r="W35" s="70" t="s">
        <v>26</v>
      </c>
      <c r="X35" s="70" t="s">
        <v>2</v>
      </c>
      <c r="Y35" s="70" t="s">
        <v>33</v>
      </c>
      <c r="Z35" s="70" t="s">
        <v>23</v>
      </c>
    </row>
    <row r="36" spans="1:26" x14ac:dyDescent="0.3">
      <c r="A36" s="113"/>
      <c r="B36" s="113"/>
      <c r="C36" s="255"/>
      <c r="D36" s="256" t="s">
        <v>11</v>
      </c>
      <c r="E36" s="77">
        <v>0</v>
      </c>
      <c r="F36" s="405">
        <v>0</v>
      </c>
      <c r="G36" s="78">
        <v>0</v>
      </c>
      <c r="H36" s="405">
        <v>0</v>
      </c>
      <c r="I36" s="78">
        <v>0</v>
      </c>
      <c r="J36" s="257">
        <v>0</v>
      </c>
      <c r="K36" s="446">
        <v>0</v>
      </c>
      <c r="L36" s="258">
        <v>0</v>
      </c>
      <c r="M36" s="447">
        <v>0</v>
      </c>
      <c r="N36" s="258">
        <v>0</v>
      </c>
      <c r="P36" s="405">
        <v>0</v>
      </c>
      <c r="Q36" s="78">
        <v>0</v>
      </c>
      <c r="R36" s="78">
        <v>0</v>
      </c>
      <c r="S36" s="79">
        <v>0</v>
      </c>
      <c r="T36" s="405">
        <v>0</v>
      </c>
      <c r="U36" s="79">
        <v>0</v>
      </c>
      <c r="W36" s="70" t="s">
        <v>26</v>
      </c>
      <c r="X36" s="70" t="s">
        <v>2</v>
      </c>
      <c r="Y36" s="70" t="s">
        <v>33</v>
      </c>
      <c r="Z36" s="70" t="s">
        <v>24</v>
      </c>
    </row>
    <row r="37" spans="1:26" x14ac:dyDescent="0.3">
      <c r="A37" s="113"/>
      <c r="B37" s="113"/>
      <c r="C37" s="259" t="str">
        <f>$AD$8</f>
        <v>PGT (Masters' loan)</v>
      </c>
      <c r="D37" s="260" t="s">
        <v>12</v>
      </c>
      <c r="E37" s="82">
        <v>2804.36</v>
      </c>
      <c r="F37" s="406">
        <v>0</v>
      </c>
      <c r="G37" s="406">
        <v>0</v>
      </c>
      <c r="H37" s="406">
        <v>0</v>
      </c>
      <c r="I37" s="84">
        <v>0</v>
      </c>
      <c r="J37" s="261">
        <v>2804.36</v>
      </c>
      <c r="K37" s="445">
        <v>0</v>
      </c>
      <c r="L37" s="444">
        <v>0</v>
      </c>
      <c r="M37" s="445">
        <v>0</v>
      </c>
      <c r="N37" s="262">
        <v>570244.93000000005</v>
      </c>
      <c r="P37" s="406">
        <v>0</v>
      </c>
      <c r="Q37" s="406">
        <v>0</v>
      </c>
      <c r="R37" s="406">
        <v>0</v>
      </c>
      <c r="S37" s="406">
        <v>0</v>
      </c>
      <c r="T37" s="406">
        <v>0</v>
      </c>
      <c r="U37" s="420">
        <v>0</v>
      </c>
      <c r="W37" s="70" t="s">
        <v>26</v>
      </c>
      <c r="X37" s="70" t="s">
        <v>2</v>
      </c>
      <c r="Y37" s="70" t="s">
        <v>46</v>
      </c>
      <c r="Z37" s="70" t="s">
        <v>23</v>
      </c>
    </row>
    <row r="38" spans="1:26" x14ac:dyDescent="0.3">
      <c r="A38" s="113"/>
      <c r="B38" s="113"/>
      <c r="C38" s="255"/>
      <c r="D38" s="256" t="s">
        <v>11</v>
      </c>
      <c r="E38" s="77">
        <v>8093.63</v>
      </c>
      <c r="F38" s="405">
        <v>0</v>
      </c>
      <c r="G38" s="405">
        <v>0</v>
      </c>
      <c r="H38" s="405">
        <v>0</v>
      </c>
      <c r="I38" s="78">
        <v>0</v>
      </c>
      <c r="J38" s="257">
        <v>8093.63</v>
      </c>
      <c r="K38" s="447">
        <v>0</v>
      </c>
      <c r="L38" s="258">
        <v>6858260.8083574995</v>
      </c>
      <c r="M38" s="447">
        <v>0</v>
      </c>
      <c r="N38" s="258">
        <v>1082198.22</v>
      </c>
      <c r="P38" s="405">
        <v>0</v>
      </c>
      <c r="Q38" s="405">
        <v>0</v>
      </c>
      <c r="R38" s="405">
        <v>0</v>
      </c>
      <c r="S38" s="405">
        <v>0</v>
      </c>
      <c r="T38" s="405">
        <v>0</v>
      </c>
      <c r="U38" s="418">
        <v>0</v>
      </c>
      <c r="W38" s="70" t="s">
        <v>26</v>
      </c>
      <c r="X38" s="70" t="s">
        <v>2</v>
      </c>
      <c r="Y38" s="70" t="s">
        <v>46</v>
      </c>
      <c r="Z38" s="70" t="s">
        <v>24</v>
      </c>
    </row>
    <row r="39" spans="1:26" x14ac:dyDescent="0.3">
      <c r="A39" s="113"/>
      <c r="B39" s="113"/>
      <c r="C39" s="259" t="str">
        <f>$AD$9</f>
        <v>PGT (Other)</v>
      </c>
      <c r="D39" s="260" t="s">
        <v>12</v>
      </c>
      <c r="E39" s="82">
        <v>194</v>
      </c>
      <c r="F39" s="406">
        <v>0</v>
      </c>
      <c r="G39" s="406">
        <v>0</v>
      </c>
      <c r="H39" s="406">
        <v>0</v>
      </c>
      <c r="I39" s="84">
        <v>0</v>
      </c>
      <c r="J39" s="261">
        <v>194</v>
      </c>
      <c r="K39" s="263">
        <v>213400</v>
      </c>
      <c r="L39" s="445">
        <v>0</v>
      </c>
      <c r="M39" s="445">
        <v>0</v>
      </c>
      <c r="N39" s="263">
        <v>41946.11</v>
      </c>
      <c r="P39" s="406">
        <v>0</v>
      </c>
      <c r="Q39" s="406">
        <v>0</v>
      </c>
      <c r="R39" s="406">
        <v>0</v>
      </c>
      <c r="S39" s="406">
        <v>0</v>
      </c>
      <c r="T39" s="406">
        <v>0</v>
      </c>
      <c r="U39" s="420">
        <v>0</v>
      </c>
      <c r="W39" s="70" t="s">
        <v>26</v>
      </c>
      <c r="X39" s="70" t="s">
        <v>2</v>
      </c>
      <c r="Y39" s="70" t="s">
        <v>47</v>
      </c>
      <c r="Z39" s="70" t="s">
        <v>23</v>
      </c>
    </row>
    <row r="40" spans="1:26" x14ac:dyDescent="0.3">
      <c r="A40" s="113"/>
      <c r="B40" s="264"/>
      <c r="C40" s="264"/>
      <c r="D40" s="265" t="s">
        <v>11</v>
      </c>
      <c r="E40" s="266">
        <v>76.790000000000006</v>
      </c>
      <c r="F40" s="439">
        <v>0</v>
      </c>
      <c r="G40" s="439">
        <v>0</v>
      </c>
      <c r="H40" s="439">
        <v>0</v>
      </c>
      <c r="I40" s="267">
        <v>0</v>
      </c>
      <c r="J40" s="268">
        <v>76.790000000000006</v>
      </c>
      <c r="K40" s="269">
        <v>84469</v>
      </c>
      <c r="L40" s="269">
        <v>65069.177547500003</v>
      </c>
      <c r="M40" s="448">
        <v>0</v>
      </c>
      <c r="N40" s="269">
        <v>3487</v>
      </c>
      <c r="P40" s="439">
        <v>0</v>
      </c>
      <c r="Q40" s="439">
        <v>0</v>
      </c>
      <c r="R40" s="439">
        <v>0</v>
      </c>
      <c r="S40" s="439">
        <v>0</v>
      </c>
      <c r="T40" s="439">
        <v>0</v>
      </c>
      <c r="U40" s="469">
        <v>0</v>
      </c>
      <c r="W40" s="70" t="s">
        <v>26</v>
      </c>
      <c r="X40" s="70" t="s">
        <v>2</v>
      </c>
      <c r="Y40" s="70" t="s">
        <v>47</v>
      </c>
      <c r="Z40" s="70" t="s">
        <v>24</v>
      </c>
    </row>
    <row r="41" spans="1:26" x14ac:dyDescent="0.3">
      <c r="A41" s="113"/>
      <c r="B41" s="113" t="s">
        <v>221</v>
      </c>
      <c r="C41" s="113" t="s">
        <v>6</v>
      </c>
      <c r="D41" s="252" t="s">
        <v>12</v>
      </c>
      <c r="E41" s="91">
        <v>6296.79</v>
      </c>
      <c r="F41" s="92">
        <v>220.5</v>
      </c>
      <c r="G41" s="412">
        <v>0</v>
      </c>
      <c r="H41" s="412">
        <v>0</v>
      </c>
      <c r="I41" s="92">
        <v>0</v>
      </c>
      <c r="J41" s="253">
        <v>6517.29</v>
      </c>
      <c r="K41" s="444">
        <v>0</v>
      </c>
      <c r="L41" s="449">
        <v>0</v>
      </c>
      <c r="M41" s="449">
        <v>0</v>
      </c>
      <c r="N41" s="262">
        <v>239196.63</v>
      </c>
      <c r="P41" s="92">
        <v>167.64</v>
      </c>
      <c r="Q41" s="92">
        <v>186.26</v>
      </c>
      <c r="R41" s="92">
        <v>574.4</v>
      </c>
      <c r="S41" s="412">
        <v>0</v>
      </c>
      <c r="T41" s="412">
        <v>0</v>
      </c>
      <c r="U41" s="93">
        <v>11114.01</v>
      </c>
      <c r="W41" s="70" t="s">
        <v>26</v>
      </c>
      <c r="X41" s="70" t="s">
        <v>1</v>
      </c>
      <c r="Y41" s="70" t="s">
        <v>6</v>
      </c>
      <c r="Z41" s="70" t="s">
        <v>23</v>
      </c>
    </row>
    <row r="42" spans="1:26" x14ac:dyDescent="0.3">
      <c r="A42" s="113"/>
      <c r="B42" s="113"/>
      <c r="C42" s="255"/>
      <c r="D42" s="256" t="s">
        <v>11</v>
      </c>
      <c r="E42" s="77">
        <v>43.07</v>
      </c>
      <c r="F42" s="78">
        <v>0</v>
      </c>
      <c r="G42" s="405">
        <v>0</v>
      </c>
      <c r="H42" s="405">
        <v>0</v>
      </c>
      <c r="I42" s="78">
        <v>0</v>
      </c>
      <c r="J42" s="257">
        <v>43.07</v>
      </c>
      <c r="K42" s="446">
        <v>0</v>
      </c>
      <c r="L42" s="447">
        <v>0</v>
      </c>
      <c r="M42" s="447">
        <v>0</v>
      </c>
      <c r="N42" s="258">
        <v>2960.1</v>
      </c>
      <c r="P42" s="78">
        <v>0</v>
      </c>
      <c r="Q42" s="78">
        <v>0</v>
      </c>
      <c r="R42" s="78">
        <v>0</v>
      </c>
      <c r="S42" s="405">
        <v>0</v>
      </c>
      <c r="T42" s="405">
        <v>0</v>
      </c>
      <c r="U42" s="79">
        <v>0</v>
      </c>
      <c r="W42" s="70" t="s">
        <v>26</v>
      </c>
      <c r="X42" s="70" t="s">
        <v>1</v>
      </c>
      <c r="Y42" s="70" t="s">
        <v>6</v>
      </c>
      <c r="Z42" s="70" t="s">
        <v>24</v>
      </c>
    </row>
    <row r="43" spans="1:26" x14ac:dyDescent="0.3">
      <c r="A43" s="113"/>
      <c r="B43" s="113"/>
      <c r="C43" s="259" t="str">
        <f>$AD$7</f>
        <v>PGT (UG fee)</v>
      </c>
      <c r="D43" s="252" t="s">
        <v>12</v>
      </c>
      <c r="E43" s="82">
        <v>1.17</v>
      </c>
      <c r="F43" s="406">
        <v>0</v>
      </c>
      <c r="G43" s="84">
        <v>8.5299999999999994</v>
      </c>
      <c r="H43" s="406">
        <v>0</v>
      </c>
      <c r="I43" s="84">
        <v>0</v>
      </c>
      <c r="J43" s="261">
        <v>9.6999999999999993</v>
      </c>
      <c r="K43" s="453">
        <v>0</v>
      </c>
      <c r="L43" s="445">
        <v>0</v>
      </c>
      <c r="M43" s="445">
        <v>0</v>
      </c>
      <c r="N43" s="263">
        <v>1677.08</v>
      </c>
      <c r="P43" s="406">
        <v>0</v>
      </c>
      <c r="Q43" s="84">
        <v>0.65</v>
      </c>
      <c r="R43" s="84">
        <v>9.18</v>
      </c>
      <c r="S43" s="406">
        <v>0</v>
      </c>
      <c r="T43" s="406">
        <v>0</v>
      </c>
      <c r="U43" s="85">
        <v>1642.98</v>
      </c>
      <c r="W43" s="70" t="s">
        <v>26</v>
      </c>
      <c r="X43" s="70" t="s">
        <v>1</v>
      </c>
      <c r="Y43" s="70" t="s">
        <v>33</v>
      </c>
      <c r="Z43" s="70" t="s">
        <v>23</v>
      </c>
    </row>
    <row r="44" spans="1:26" x14ac:dyDescent="0.3">
      <c r="A44" s="113"/>
      <c r="B44" s="113"/>
      <c r="C44" s="255"/>
      <c r="D44" s="256" t="s">
        <v>11</v>
      </c>
      <c r="E44" s="77">
        <v>0</v>
      </c>
      <c r="F44" s="405">
        <v>0</v>
      </c>
      <c r="G44" s="78">
        <v>0</v>
      </c>
      <c r="H44" s="405">
        <v>0</v>
      </c>
      <c r="I44" s="78">
        <v>0</v>
      </c>
      <c r="J44" s="257">
        <v>0</v>
      </c>
      <c r="K44" s="446">
        <v>0</v>
      </c>
      <c r="L44" s="258">
        <v>0</v>
      </c>
      <c r="M44" s="447">
        <v>0</v>
      </c>
      <c r="N44" s="258">
        <v>0</v>
      </c>
      <c r="P44" s="405">
        <v>0</v>
      </c>
      <c r="Q44" s="78">
        <v>0</v>
      </c>
      <c r="R44" s="78">
        <v>0</v>
      </c>
      <c r="S44" s="79">
        <v>0</v>
      </c>
      <c r="T44" s="405">
        <v>0</v>
      </c>
      <c r="U44" s="79">
        <v>0</v>
      </c>
      <c r="W44" s="70" t="s">
        <v>26</v>
      </c>
      <c r="X44" s="70" t="s">
        <v>1</v>
      </c>
      <c r="Y44" s="70" t="s">
        <v>33</v>
      </c>
      <c r="Z44" s="70" t="s">
        <v>24</v>
      </c>
    </row>
    <row r="45" spans="1:26" x14ac:dyDescent="0.3">
      <c r="A45" s="113"/>
      <c r="B45" s="113"/>
      <c r="C45" s="259" t="str">
        <f>$AD$8</f>
        <v>PGT (Masters' loan)</v>
      </c>
      <c r="D45" s="260" t="s">
        <v>12</v>
      </c>
      <c r="E45" s="82">
        <v>638.32000000000005</v>
      </c>
      <c r="F45" s="406">
        <v>0</v>
      </c>
      <c r="G45" s="406">
        <v>0</v>
      </c>
      <c r="H45" s="406">
        <v>0</v>
      </c>
      <c r="I45" s="84">
        <v>0</v>
      </c>
      <c r="J45" s="261">
        <v>638.32000000000005</v>
      </c>
      <c r="K45" s="445">
        <v>0</v>
      </c>
      <c r="L45" s="444">
        <v>0</v>
      </c>
      <c r="M45" s="445">
        <v>0</v>
      </c>
      <c r="N45" s="263">
        <v>65941.5</v>
      </c>
      <c r="P45" s="406">
        <v>0</v>
      </c>
      <c r="Q45" s="406">
        <v>0</v>
      </c>
      <c r="R45" s="406">
        <v>0</v>
      </c>
      <c r="S45" s="406">
        <v>0</v>
      </c>
      <c r="T45" s="406">
        <v>0</v>
      </c>
      <c r="U45" s="420">
        <v>0</v>
      </c>
      <c r="W45" s="70" t="s">
        <v>26</v>
      </c>
      <c r="X45" s="70" t="s">
        <v>1</v>
      </c>
      <c r="Y45" s="70" t="s">
        <v>46</v>
      </c>
      <c r="Z45" s="70" t="s">
        <v>23</v>
      </c>
    </row>
    <row r="46" spans="1:26" x14ac:dyDescent="0.3">
      <c r="A46" s="113"/>
      <c r="B46" s="113"/>
      <c r="C46" s="255"/>
      <c r="D46" s="256" t="s">
        <v>11</v>
      </c>
      <c r="E46" s="77">
        <v>2184.59</v>
      </c>
      <c r="F46" s="405">
        <v>0</v>
      </c>
      <c r="G46" s="405">
        <v>0</v>
      </c>
      <c r="H46" s="405">
        <v>0</v>
      </c>
      <c r="I46" s="78">
        <v>0</v>
      </c>
      <c r="J46" s="257">
        <v>2184.59</v>
      </c>
      <c r="K46" s="447">
        <v>0</v>
      </c>
      <c r="L46" s="258">
        <v>1851145.6514975</v>
      </c>
      <c r="M46" s="447">
        <v>0</v>
      </c>
      <c r="N46" s="258">
        <v>262951.57</v>
      </c>
      <c r="P46" s="405">
        <v>0</v>
      </c>
      <c r="Q46" s="405">
        <v>0</v>
      </c>
      <c r="R46" s="405">
        <v>0</v>
      </c>
      <c r="S46" s="405">
        <v>0</v>
      </c>
      <c r="T46" s="405">
        <v>0</v>
      </c>
      <c r="U46" s="418">
        <v>0</v>
      </c>
      <c r="W46" s="70" t="s">
        <v>26</v>
      </c>
      <c r="X46" s="70" t="s">
        <v>1</v>
      </c>
      <c r="Y46" s="70" t="s">
        <v>46</v>
      </c>
      <c r="Z46" s="70" t="s">
        <v>24</v>
      </c>
    </row>
    <row r="47" spans="1:26" x14ac:dyDescent="0.3">
      <c r="A47" s="113"/>
      <c r="B47" s="113"/>
      <c r="C47" s="259" t="str">
        <f>$AD$9</f>
        <v>PGT (Other)</v>
      </c>
      <c r="D47" s="260" t="s">
        <v>12</v>
      </c>
      <c r="E47" s="82">
        <v>154.76</v>
      </c>
      <c r="F47" s="406">
        <v>0</v>
      </c>
      <c r="G47" s="406">
        <v>0</v>
      </c>
      <c r="H47" s="406">
        <v>0</v>
      </c>
      <c r="I47" s="84">
        <v>0</v>
      </c>
      <c r="J47" s="261">
        <v>154.76</v>
      </c>
      <c r="K47" s="263">
        <v>170236</v>
      </c>
      <c r="L47" s="445">
        <v>0</v>
      </c>
      <c r="M47" s="445">
        <v>0</v>
      </c>
      <c r="N47" s="263">
        <v>28659.95</v>
      </c>
      <c r="P47" s="406">
        <v>0</v>
      </c>
      <c r="Q47" s="406">
        <v>0</v>
      </c>
      <c r="R47" s="406">
        <v>0</v>
      </c>
      <c r="S47" s="406">
        <v>0</v>
      </c>
      <c r="T47" s="406">
        <v>0</v>
      </c>
      <c r="U47" s="420">
        <v>0</v>
      </c>
      <c r="W47" s="70" t="s">
        <v>26</v>
      </c>
      <c r="X47" s="70" t="s">
        <v>1</v>
      </c>
      <c r="Y47" s="70" t="s">
        <v>47</v>
      </c>
      <c r="Z47" s="70" t="s">
        <v>23</v>
      </c>
    </row>
    <row r="48" spans="1:26" x14ac:dyDescent="0.3">
      <c r="A48" s="270"/>
      <c r="B48" s="270"/>
      <c r="C48" s="270"/>
      <c r="D48" s="178" t="s">
        <v>11</v>
      </c>
      <c r="E48" s="88">
        <v>138.01</v>
      </c>
      <c r="F48" s="407">
        <v>0</v>
      </c>
      <c r="G48" s="407">
        <v>0</v>
      </c>
      <c r="H48" s="407">
        <v>0</v>
      </c>
      <c r="I48" s="89">
        <v>0</v>
      </c>
      <c r="J48" s="271">
        <v>138.01</v>
      </c>
      <c r="K48" s="273">
        <v>151811</v>
      </c>
      <c r="L48" s="273">
        <v>116944.87815249999</v>
      </c>
      <c r="M48" s="454">
        <v>0</v>
      </c>
      <c r="N48" s="273">
        <v>7638.73</v>
      </c>
      <c r="P48" s="407">
        <v>0</v>
      </c>
      <c r="Q48" s="407">
        <v>0</v>
      </c>
      <c r="R48" s="407">
        <v>0</v>
      </c>
      <c r="S48" s="407">
        <v>0</v>
      </c>
      <c r="T48" s="407">
        <v>0</v>
      </c>
      <c r="U48" s="419">
        <v>0</v>
      </c>
      <c r="W48" s="70" t="s">
        <v>26</v>
      </c>
      <c r="X48" s="70" t="s">
        <v>1</v>
      </c>
      <c r="Y48" s="70" t="s">
        <v>47</v>
      </c>
      <c r="Z48" s="70" t="s">
        <v>24</v>
      </c>
    </row>
    <row r="49" spans="1:26" x14ac:dyDescent="0.3">
      <c r="A49" s="251" t="s">
        <v>27</v>
      </c>
      <c r="B49" s="113" t="s">
        <v>217</v>
      </c>
      <c r="C49" s="113" t="s">
        <v>6</v>
      </c>
      <c r="D49" s="252" t="s">
        <v>12</v>
      </c>
      <c r="E49" s="91">
        <v>190378.53</v>
      </c>
      <c r="F49" s="412">
        <v>0</v>
      </c>
      <c r="G49" s="412">
        <v>0</v>
      </c>
      <c r="H49" s="412">
        <v>0</v>
      </c>
      <c r="I49" s="92">
        <v>259</v>
      </c>
      <c r="J49" s="253">
        <v>190637.53</v>
      </c>
      <c r="K49" s="451">
        <v>0</v>
      </c>
      <c r="L49" s="452">
        <v>0</v>
      </c>
      <c r="M49" s="452">
        <v>0</v>
      </c>
      <c r="N49" s="254">
        <v>7700603.3399999999</v>
      </c>
      <c r="P49" s="412">
        <v>0</v>
      </c>
      <c r="Q49" s="412">
        <v>0</v>
      </c>
      <c r="R49" s="412">
        <v>0</v>
      </c>
      <c r="S49" s="412">
        <v>0</v>
      </c>
      <c r="T49" s="412">
        <v>0</v>
      </c>
      <c r="U49" s="468">
        <v>0</v>
      </c>
      <c r="W49" s="70" t="s">
        <v>27</v>
      </c>
      <c r="X49" s="70" t="s">
        <v>2</v>
      </c>
      <c r="Y49" s="70" t="s">
        <v>6</v>
      </c>
      <c r="Z49" s="70" t="s">
        <v>23</v>
      </c>
    </row>
    <row r="50" spans="1:26" x14ac:dyDescent="0.3">
      <c r="A50" s="113"/>
      <c r="B50" s="113"/>
      <c r="C50" s="255"/>
      <c r="D50" s="256" t="s">
        <v>11</v>
      </c>
      <c r="E50" s="77">
        <v>668.28</v>
      </c>
      <c r="F50" s="405">
        <v>0</v>
      </c>
      <c r="G50" s="405">
        <v>0</v>
      </c>
      <c r="H50" s="405">
        <v>0</v>
      </c>
      <c r="I50" s="78">
        <v>0</v>
      </c>
      <c r="J50" s="257">
        <v>668.28</v>
      </c>
      <c r="K50" s="455">
        <v>0</v>
      </c>
      <c r="L50" s="447">
        <v>0</v>
      </c>
      <c r="M50" s="258">
        <v>735163.19324519997</v>
      </c>
      <c r="N50" s="272">
        <v>52578.51</v>
      </c>
      <c r="P50" s="405">
        <v>0</v>
      </c>
      <c r="Q50" s="405">
        <v>0</v>
      </c>
      <c r="R50" s="405">
        <v>0</v>
      </c>
      <c r="S50" s="405">
        <v>0</v>
      </c>
      <c r="T50" s="405">
        <v>0</v>
      </c>
      <c r="U50" s="418">
        <v>0</v>
      </c>
      <c r="W50" s="70" t="s">
        <v>27</v>
      </c>
      <c r="X50" s="70" t="s">
        <v>2</v>
      </c>
      <c r="Y50" s="70" t="s">
        <v>6</v>
      </c>
      <c r="Z50" s="70" t="s">
        <v>24</v>
      </c>
    </row>
    <row r="51" spans="1:26" x14ac:dyDescent="0.3">
      <c r="A51" s="113"/>
      <c r="B51" s="113"/>
      <c r="C51" s="259" t="str">
        <f>$AD$7</f>
        <v>PGT (UG fee)</v>
      </c>
      <c r="D51" s="252" t="s">
        <v>12</v>
      </c>
      <c r="E51" s="82">
        <v>2763.24</v>
      </c>
      <c r="F51" s="406">
        <v>0</v>
      </c>
      <c r="G51" s="406">
        <v>0</v>
      </c>
      <c r="H51" s="406">
        <v>0</v>
      </c>
      <c r="I51" s="84">
        <v>0</v>
      </c>
      <c r="J51" s="261">
        <v>2763.24</v>
      </c>
      <c r="K51" s="453">
        <v>0</v>
      </c>
      <c r="L51" s="445">
        <v>0</v>
      </c>
      <c r="M51" s="445">
        <v>0</v>
      </c>
      <c r="N51" s="263">
        <v>247241</v>
      </c>
      <c r="P51" s="406">
        <v>0</v>
      </c>
      <c r="Q51" s="406">
        <v>0</v>
      </c>
      <c r="R51" s="406">
        <v>0</v>
      </c>
      <c r="S51" s="406">
        <v>0</v>
      </c>
      <c r="T51" s="406">
        <v>0</v>
      </c>
      <c r="U51" s="420">
        <v>0</v>
      </c>
      <c r="W51" s="70" t="s">
        <v>27</v>
      </c>
      <c r="X51" s="70" t="s">
        <v>2</v>
      </c>
      <c r="Y51" s="70" t="s">
        <v>33</v>
      </c>
      <c r="Z51" s="70" t="s">
        <v>23</v>
      </c>
    </row>
    <row r="52" spans="1:26" x14ac:dyDescent="0.3">
      <c r="A52" s="113"/>
      <c r="B52" s="113"/>
      <c r="C52" s="255"/>
      <c r="D52" s="256" t="s">
        <v>11</v>
      </c>
      <c r="E52" s="77">
        <v>46</v>
      </c>
      <c r="F52" s="405">
        <v>0</v>
      </c>
      <c r="G52" s="405">
        <v>0</v>
      </c>
      <c r="H52" s="405">
        <v>0</v>
      </c>
      <c r="I52" s="78">
        <v>0</v>
      </c>
      <c r="J52" s="257">
        <v>46</v>
      </c>
      <c r="K52" s="446">
        <v>0</v>
      </c>
      <c r="L52" s="258">
        <v>38978.801500000001</v>
      </c>
      <c r="M52" s="447">
        <v>0</v>
      </c>
      <c r="N52" s="258">
        <v>156</v>
      </c>
      <c r="P52" s="405">
        <v>0</v>
      </c>
      <c r="Q52" s="405">
        <v>0</v>
      </c>
      <c r="R52" s="405">
        <v>0</v>
      </c>
      <c r="S52" s="405">
        <v>0</v>
      </c>
      <c r="T52" s="405">
        <v>0</v>
      </c>
      <c r="U52" s="418">
        <v>0</v>
      </c>
      <c r="W52" s="70" t="s">
        <v>27</v>
      </c>
      <c r="X52" s="70" t="s">
        <v>2</v>
      </c>
      <c r="Y52" s="70" t="s">
        <v>33</v>
      </c>
      <c r="Z52" s="70" t="s">
        <v>24</v>
      </c>
    </row>
    <row r="53" spans="1:26" x14ac:dyDescent="0.3">
      <c r="A53" s="113"/>
      <c r="B53" s="113"/>
      <c r="C53" s="259" t="str">
        <f>$AD$8</f>
        <v>PGT (Masters' loan)</v>
      </c>
      <c r="D53" s="260" t="s">
        <v>12</v>
      </c>
      <c r="E53" s="82">
        <v>2358.02</v>
      </c>
      <c r="F53" s="406">
        <v>0</v>
      </c>
      <c r="G53" s="406">
        <v>0</v>
      </c>
      <c r="H53" s="406">
        <v>0</v>
      </c>
      <c r="I53" s="84">
        <v>0</v>
      </c>
      <c r="J53" s="261">
        <v>2358.02</v>
      </c>
      <c r="K53" s="445">
        <v>0</v>
      </c>
      <c r="L53" s="444">
        <v>0</v>
      </c>
      <c r="M53" s="445">
        <v>0</v>
      </c>
      <c r="N53" s="263">
        <v>102434.68</v>
      </c>
      <c r="P53" s="406">
        <v>0</v>
      </c>
      <c r="Q53" s="406">
        <v>0</v>
      </c>
      <c r="R53" s="406">
        <v>0</v>
      </c>
      <c r="S53" s="406">
        <v>0</v>
      </c>
      <c r="T53" s="406">
        <v>0</v>
      </c>
      <c r="U53" s="420">
        <v>0</v>
      </c>
      <c r="W53" s="70" t="s">
        <v>27</v>
      </c>
      <c r="X53" s="70" t="s">
        <v>2</v>
      </c>
      <c r="Y53" s="70" t="s">
        <v>46</v>
      </c>
      <c r="Z53" s="70" t="s">
        <v>23</v>
      </c>
    </row>
    <row r="54" spans="1:26" x14ac:dyDescent="0.3">
      <c r="A54" s="113"/>
      <c r="B54" s="113"/>
      <c r="C54" s="255"/>
      <c r="D54" s="256" t="s">
        <v>11</v>
      </c>
      <c r="E54" s="77">
        <v>9985.41</v>
      </c>
      <c r="F54" s="405">
        <v>0</v>
      </c>
      <c r="G54" s="405">
        <v>0</v>
      </c>
      <c r="H54" s="405">
        <v>0</v>
      </c>
      <c r="I54" s="78">
        <v>1.82</v>
      </c>
      <c r="J54" s="257">
        <v>9987.23</v>
      </c>
      <c r="K54" s="447">
        <v>0</v>
      </c>
      <c r="L54" s="258">
        <v>8462831.6457575001</v>
      </c>
      <c r="M54" s="447">
        <v>0</v>
      </c>
      <c r="N54" s="258">
        <v>909448.96</v>
      </c>
      <c r="P54" s="405">
        <v>0</v>
      </c>
      <c r="Q54" s="405">
        <v>0</v>
      </c>
      <c r="R54" s="405">
        <v>0</v>
      </c>
      <c r="S54" s="405">
        <v>0</v>
      </c>
      <c r="T54" s="405">
        <v>0</v>
      </c>
      <c r="U54" s="418">
        <v>0</v>
      </c>
      <c r="W54" s="70" t="s">
        <v>27</v>
      </c>
      <c r="X54" s="70" t="s">
        <v>2</v>
      </c>
      <c r="Y54" s="70" t="s">
        <v>46</v>
      </c>
      <c r="Z54" s="70" t="s">
        <v>24</v>
      </c>
    </row>
    <row r="55" spans="1:26" x14ac:dyDescent="0.3">
      <c r="A55" s="113"/>
      <c r="B55" s="113"/>
      <c r="C55" s="259" t="str">
        <f>$AD$9</f>
        <v>PGT (Other)</v>
      </c>
      <c r="D55" s="260" t="s">
        <v>12</v>
      </c>
      <c r="E55" s="82">
        <v>735.3</v>
      </c>
      <c r="F55" s="406">
        <v>0</v>
      </c>
      <c r="G55" s="406">
        <v>0</v>
      </c>
      <c r="H55" s="406">
        <v>0</v>
      </c>
      <c r="I55" s="84">
        <v>0</v>
      </c>
      <c r="J55" s="261">
        <v>735.3</v>
      </c>
      <c r="K55" s="263">
        <v>808830</v>
      </c>
      <c r="L55" s="445">
        <v>0</v>
      </c>
      <c r="M55" s="445">
        <v>0</v>
      </c>
      <c r="N55" s="263">
        <v>18865.52</v>
      </c>
      <c r="P55" s="406">
        <v>0</v>
      </c>
      <c r="Q55" s="406">
        <v>0</v>
      </c>
      <c r="R55" s="406">
        <v>0</v>
      </c>
      <c r="S55" s="406">
        <v>0</v>
      </c>
      <c r="T55" s="406">
        <v>0</v>
      </c>
      <c r="U55" s="420">
        <v>0</v>
      </c>
      <c r="W55" s="70" t="s">
        <v>27</v>
      </c>
      <c r="X55" s="70" t="s">
        <v>2</v>
      </c>
      <c r="Y55" s="70" t="s">
        <v>47</v>
      </c>
      <c r="Z55" s="70" t="s">
        <v>23</v>
      </c>
    </row>
    <row r="56" spans="1:26" x14ac:dyDescent="0.3">
      <c r="A56" s="113"/>
      <c r="B56" s="264"/>
      <c r="C56" s="264"/>
      <c r="D56" s="265" t="s">
        <v>11</v>
      </c>
      <c r="E56" s="266">
        <v>507.57</v>
      </c>
      <c r="F56" s="439">
        <v>0</v>
      </c>
      <c r="G56" s="439">
        <v>0</v>
      </c>
      <c r="H56" s="439">
        <v>0</v>
      </c>
      <c r="I56" s="267">
        <v>0</v>
      </c>
      <c r="J56" s="268">
        <v>507.57</v>
      </c>
      <c r="K56" s="269">
        <v>558327</v>
      </c>
      <c r="L56" s="269">
        <v>430097.17994250002</v>
      </c>
      <c r="M56" s="448">
        <v>0</v>
      </c>
      <c r="N56" s="269">
        <v>22898</v>
      </c>
      <c r="P56" s="439">
        <v>0</v>
      </c>
      <c r="Q56" s="439">
        <v>0</v>
      </c>
      <c r="R56" s="439">
        <v>0</v>
      </c>
      <c r="S56" s="439">
        <v>0</v>
      </c>
      <c r="T56" s="439">
        <v>0</v>
      </c>
      <c r="U56" s="469">
        <v>0</v>
      </c>
      <c r="W56" s="70" t="s">
        <v>27</v>
      </c>
      <c r="X56" s="70" t="s">
        <v>2</v>
      </c>
      <c r="Y56" s="70" t="s">
        <v>47</v>
      </c>
      <c r="Z56" s="70" t="s">
        <v>24</v>
      </c>
    </row>
    <row r="57" spans="1:26" x14ac:dyDescent="0.3">
      <c r="A57" s="113"/>
      <c r="B57" s="566" t="s">
        <v>114</v>
      </c>
      <c r="C57" s="255" t="s">
        <v>6</v>
      </c>
      <c r="D57" s="256" t="s">
        <v>12</v>
      </c>
      <c r="E57" s="274">
        <v>12622.5</v>
      </c>
      <c r="F57" s="402">
        <v>0</v>
      </c>
      <c r="G57" s="438">
        <v>0</v>
      </c>
      <c r="H57" s="438">
        <v>0</v>
      </c>
      <c r="I57" s="275">
        <v>0</v>
      </c>
      <c r="J57" s="276">
        <v>12622.5</v>
      </c>
      <c r="K57" s="456">
        <v>0</v>
      </c>
      <c r="L57" s="457">
        <v>0</v>
      </c>
      <c r="M57" s="457">
        <v>0</v>
      </c>
      <c r="N57" s="277">
        <v>247013</v>
      </c>
      <c r="P57" s="402">
        <v>0</v>
      </c>
      <c r="Q57" s="402">
        <v>0</v>
      </c>
      <c r="R57" s="275">
        <v>0</v>
      </c>
      <c r="S57" s="438">
        <v>0</v>
      </c>
      <c r="T57" s="438">
        <v>0</v>
      </c>
      <c r="U57" s="278">
        <v>0</v>
      </c>
      <c r="W57" s="70" t="s">
        <v>27</v>
      </c>
      <c r="X57" s="70" t="s">
        <v>14</v>
      </c>
      <c r="Y57" s="70" t="s">
        <v>6</v>
      </c>
      <c r="Z57" s="70" t="s">
        <v>23</v>
      </c>
    </row>
    <row r="58" spans="1:26" x14ac:dyDescent="0.3">
      <c r="A58" s="113"/>
      <c r="B58" s="566"/>
      <c r="C58" s="279" t="str">
        <f>$AD$7</f>
        <v>PGT (UG fee)</v>
      </c>
      <c r="D58" s="256" t="s">
        <v>12</v>
      </c>
      <c r="E58" s="280">
        <v>14</v>
      </c>
      <c r="F58" s="438">
        <v>0</v>
      </c>
      <c r="G58" s="281">
        <v>0</v>
      </c>
      <c r="H58" s="440">
        <v>0</v>
      </c>
      <c r="I58" s="281">
        <v>0</v>
      </c>
      <c r="J58" s="276">
        <v>14</v>
      </c>
      <c r="K58" s="456">
        <v>0</v>
      </c>
      <c r="L58" s="458">
        <v>0</v>
      </c>
      <c r="M58" s="458">
        <v>0</v>
      </c>
      <c r="N58" s="277">
        <v>0</v>
      </c>
      <c r="P58" s="440">
        <v>0</v>
      </c>
      <c r="Q58" s="281">
        <v>0</v>
      </c>
      <c r="R58" s="281">
        <v>0</v>
      </c>
      <c r="S58" s="440">
        <v>0</v>
      </c>
      <c r="T58" s="440">
        <v>0</v>
      </c>
      <c r="U58" s="278">
        <v>0</v>
      </c>
      <c r="W58" s="70" t="s">
        <v>27</v>
      </c>
      <c r="X58" s="70" t="s">
        <v>14</v>
      </c>
      <c r="Y58" s="70" t="s">
        <v>33</v>
      </c>
      <c r="Z58" s="70" t="s">
        <v>23</v>
      </c>
    </row>
    <row r="59" spans="1:26" x14ac:dyDescent="0.3">
      <c r="A59" s="113"/>
      <c r="B59" s="113"/>
      <c r="C59" s="279" t="str">
        <f>$AD$8</f>
        <v>PGT (Masters' loan)</v>
      </c>
      <c r="D59" s="256" t="s">
        <v>12</v>
      </c>
      <c r="E59" s="280">
        <v>17.5</v>
      </c>
      <c r="F59" s="440">
        <v>0</v>
      </c>
      <c r="G59" s="440">
        <v>0</v>
      </c>
      <c r="H59" s="440">
        <v>0</v>
      </c>
      <c r="I59" s="281">
        <v>0</v>
      </c>
      <c r="J59" s="276">
        <v>17.5</v>
      </c>
      <c r="K59" s="458">
        <v>0</v>
      </c>
      <c r="L59" s="458">
        <v>0</v>
      </c>
      <c r="M59" s="458">
        <v>0</v>
      </c>
      <c r="N59" s="277">
        <v>620</v>
      </c>
      <c r="P59" s="440">
        <v>0</v>
      </c>
      <c r="Q59" s="440">
        <v>0</v>
      </c>
      <c r="R59" s="440">
        <v>0</v>
      </c>
      <c r="S59" s="440">
        <v>0</v>
      </c>
      <c r="T59" s="440">
        <v>0</v>
      </c>
      <c r="U59" s="465">
        <v>0</v>
      </c>
      <c r="W59" s="70" t="s">
        <v>27</v>
      </c>
      <c r="X59" s="70" t="s">
        <v>14</v>
      </c>
      <c r="Y59" s="70" t="s">
        <v>46</v>
      </c>
      <c r="Z59" s="70" t="s">
        <v>23</v>
      </c>
    </row>
    <row r="60" spans="1:26" x14ac:dyDescent="0.3">
      <c r="A60" s="113"/>
      <c r="B60" s="264"/>
      <c r="C60" s="282" t="str">
        <f>$AD$9</f>
        <v>PGT (Other)</v>
      </c>
      <c r="D60" s="283" t="s">
        <v>12</v>
      </c>
      <c r="E60" s="284">
        <v>0</v>
      </c>
      <c r="F60" s="441">
        <v>0</v>
      </c>
      <c r="G60" s="441">
        <v>0</v>
      </c>
      <c r="H60" s="441">
        <v>0</v>
      </c>
      <c r="I60" s="285">
        <v>0</v>
      </c>
      <c r="J60" s="286">
        <v>0</v>
      </c>
      <c r="K60" s="459">
        <v>0</v>
      </c>
      <c r="L60" s="459">
        <v>0</v>
      </c>
      <c r="M60" s="459">
        <v>0</v>
      </c>
      <c r="N60" s="287">
        <v>0</v>
      </c>
      <c r="P60" s="441">
        <v>0</v>
      </c>
      <c r="Q60" s="441">
        <v>0</v>
      </c>
      <c r="R60" s="441">
        <v>0</v>
      </c>
      <c r="S60" s="441">
        <v>0</v>
      </c>
      <c r="T60" s="441">
        <v>0</v>
      </c>
      <c r="U60" s="467">
        <v>0</v>
      </c>
      <c r="W60" s="70" t="s">
        <v>27</v>
      </c>
      <c r="X60" s="70" t="s">
        <v>14</v>
      </c>
      <c r="Y60" s="70" t="s">
        <v>47</v>
      </c>
      <c r="Z60" s="70" t="s">
        <v>23</v>
      </c>
    </row>
    <row r="61" spans="1:26" x14ac:dyDescent="0.3">
      <c r="A61" s="113"/>
      <c r="B61" s="113" t="s">
        <v>221</v>
      </c>
      <c r="C61" s="113" t="s">
        <v>6</v>
      </c>
      <c r="D61" s="252" t="s">
        <v>12</v>
      </c>
      <c r="E61" s="91">
        <v>21295.94</v>
      </c>
      <c r="F61" s="412">
        <v>0</v>
      </c>
      <c r="G61" s="412">
        <v>0</v>
      </c>
      <c r="H61" s="412">
        <v>0</v>
      </c>
      <c r="I61" s="92">
        <v>4.3600000000000003</v>
      </c>
      <c r="J61" s="253">
        <v>21300.3</v>
      </c>
      <c r="K61" s="444">
        <v>0</v>
      </c>
      <c r="L61" s="449">
        <v>0</v>
      </c>
      <c r="M61" s="449">
        <v>0</v>
      </c>
      <c r="N61" s="262">
        <v>626431.47</v>
      </c>
      <c r="P61" s="412">
        <v>0</v>
      </c>
      <c r="Q61" s="412">
        <v>0</v>
      </c>
      <c r="R61" s="412">
        <v>0</v>
      </c>
      <c r="S61" s="412">
        <v>0</v>
      </c>
      <c r="T61" s="412">
        <v>0</v>
      </c>
      <c r="U61" s="468">
        <v>0</v>
      </c>
      <c r="W61" s="70" t="s">
        <v>27</v>
      </c>
      <c r="X61" s="70" t="s">
        <v>1</v>
      </c>
      <c r="Y61" s="70" t="s">
        <v>6</v>
      </c>
      <c r="Z61" s="70" t="s">
        <v>23</v>
      </c>
    </row>
    <row r="62" spans="1:26" x14ac:dyDescent="0.3">
      <c r="A62" s="113"/>
      <c r="B62" s="113"/>
      <c r="C62" s="255"/>
      <c r="D62" s="256" t="s">
        <v>11</v>
      </c>
      <c r="E62" s="77">
        <v>50.11</v>
      </c>
      <c r="F62" s="405">
        <v>0</v>
      </c>
      <c r="G62" s="405">
        <v>0</v>
      </c>
      <c r="H62" s="405">
        <v>0</v>
      </c>
      <c r="I62" s="78">
        <v>0</v>
      </c>
      <c r="J62" s="257">
        <v>50.11</v>
      </c>
      <c r="K62" s="446">
        <v>0</v>
      </c>
      <c r="L62" s="447">
        <v>0</v>
      </c>
      <c r="M62" s="447">
        <v>0</v>
      </c>
      <c r="N62" s="258">
        <v>2046</v>
      </c>
      <c r="P62" s="405">
        <v>0</v>
      </c>
      <c r="Q62" s="405">
        <v>0</v>
      </c>
      <c r="R62" s="405">
        <v>0</v>
      </c>
      <c r="S62" s="405">
        <v>0</v>
      </c>
      <c r="T62" s="405">
        <v>0</v>
      </c>
      <c r="U62" s="418">
        <v>0</v>
      </c>
      <c r="W62" s="70" t="s">
        <v>27</v>
      </c>
      <c r="X62" s="70" t="s">
        <v>1</v>
      </c>
      <c r="Y62" s="70" t="s">
        <v>6</v>
      </c>
      <c r="Z62" s="70" t="s">
        <v>24</v>
      </c>
    </row>
    <row r="63" spans="1:26" x14ac:dyDescent="0.3">
      <c r="A63" s="113"/>
      <c r="B63" s="113"/>
      <c r="C63" s="259" t="str">
        <f>$AD$7</f>
        <v>PGT (UG fee)</v>
      </c>
      <c r="D63" s="252" t="s">
        <v>12</v>
      </c>
      <c r="E63" s="82">
        <v>657.7</v>
      </c>
      <c r="F63" s="406">
        <v>0</v>
      </c>
      <c r="G63" s="406">
        <v>0</v>
      </c>
      <c r="H63" s="406">
        <v>0</v>
      </c>
      <c r="I63" s="84">
        <v>0</v>
      </c>
      <c r="J63" s="261">
        <v>657.7</v>
      </c>
      <c r="K63" s="453">
        <v>0</v>
      </c>
      <c r="L63" s="445">
        <v>0</v>
      </c>
      <c r="M63" s="445">
        <v>0</v>
      </c>
      <c r="N63" s="263">
        <v>27132.35</v>
      </c>
      <c r="P63" s="406">
        <v>0</v>
      </c>
      <c r="Q63" s="406">
        <v>0</v>
      </c>
      <c r="R63" s="406">
        <v>0</v>
      </c>
      <c r="S63" s="406">
        <v>0</v>
      </c>
      <c r="T63" s="406">
        <v>0</v>
      </c>
      <c r="U63" s="420">
        <v>0</v>
      </c>
      <c r="W63" s="70" t="s">
        <v>27</v>
      </c>
      <c r="X63" s="70" t="s">
        <v>1</v>
      </c>
      <c r="Y63" s="70" t="s">
        <v>33</v>
      </c>
      <c r="Z63" s="70" t="s">
        <v>23</v>
      </c>
    </row>
    <row r="64" spans="1:26" x14ac:dyDescent="0.3">
      <c r="A64" s="113"/>
      <c r="B64" s="113"/>
      <c r="C64" s="255"/>
      <c r="D64" s="256" t="s">
        <v>11</v>
      </c>
      <c r="E64" s="77">
        <v>0.5</v>
      </c>
      <c r="F64" s="405">
        <v>0</v>
      </c>
      <c r="G64" s="405">
        <v>0</v>
      </c>
      <c r="H64" s="405">
        <v>0</v>
      </c>
      <c r="I64" s="78">
        <v>0</v>
      </c>
      <c r="J64" s="257">
        <v>0.5</v>
      </c>
      <c r="K64" s="446">
        <v>0</v>
      </c>
      <c r="L64" s="258">
        <v>423.68262499999997</v>
      </c>
      <c r="M64" s="447">
        <v>0</v>
      </c>
      <c r="N64" s="258">
        <v>0</v>
      </c>
      <c r="P64" s="405">
        <v>0</v>
      </c>
      <c r="Q64" s="405">
        <v>0</v>
      </c>
      <c r="R64" s="405">
        <v>0</v>
      </c>
      <c r="S64" s="405">
        <v>0</v>
      </c>
      <c r="T64" s="405">
        <v>0</v>
      </c>
      <c r="U64" s="418">
        <v>0</v>
      </c>
      <c r="W64" s="70" t="s">
        <v>27</v>
      </c>
      <c r="X64" s="70" t="s">
        <v>1</v>
      </c>
      <c r="Y64" s="70" t="s">
        <v>33</v>
      </c>
      <c r="Z64" s="70" t="s">
        <v>24</v>
      </c>
    </row>
    <row r="65" spans="1:26" x14ac:dyDescent="0.3">
      <c r="A65" s="113"/>
      <c r="B65" s="113"/>
      <c r="C65" s="259" t="str">
        <f>$AD$8</f>
        <v>PGT (Masters' loan)</v>
      </c>
      <c r="D65" s="260" t="s">
        <v>12</v>
      </c>
      <c r="E65" s="82">
        <v>1972.6</v>
      </c>
      <c r="F65" s="406">
        <v>0</v>
      </c>
      <c r="G65" s="406">
        <v>0</v>
      </c>
      <c r="H65" s="406">
        <v>0</v>
      </c>
      <c r="I65" s="84">
        <v>8.64</v>
      </c>
      <c r="J65" s="261">
        <v>1981.24</v>
      </c>
      <c r="K65" s="445">
        <v>0</v>
      </c>
      <c r="L65" s="453">
        <v>0</v>
      </c>
      <c r="M65" s="445">
        <v>0</v>
      </c>
      <c r="N65" s="263">
        <v>85182.06</v>
      </c>
      <c r="P65" s="406">
        <v>0</v>
      </c>
      <c r="Q65" s="406">
        <v>0</v>
      </c>
      <c r="R65" s="406">
        <v>0</v>
      </c>
      <c r="S65" s="406">
        <v>0</v>
      </c>
      <c r="T65" s="406">
        <v>0</v>
      </c>
      <c r="U65" s="420">
        <v>0</v>
      </c>
      <c r="W65" s="70" t="s">
        <v>27</v>
      </c>
      <c r="X65" s="70" t="s">
        <v>1</v>
      </c>
      <c r="Y65" s="70" t="s">
        <v>46</v>
      </c>
      <c r="Z65" s="70" t="s">
        <v>23</v>
      </c>
    </row>
    <row r="66" spans="1:26" x14ac:dyDescent="0.3">
      <c r="A66" s="113"/>
      <c r="B66" s="113"/>
      <c r="C66" s="255"/>
      <c r="D66" s="256" t="s">
        <v>11</v>
      </c>
      <c r="E66" s="77">
        <v>3869.17</v>
      </c>
      <c r="F66" s="405">
        <v>0</v>
      </c>
      <c r="G66" s="405">
        <v>0</v>
      </c>
      <c r="H66" s="405">
        <v>0</v>
      </c>
      <c r="I66" s="78">
        <v>0</v>
      </c>
      <c r="J66" s="257">
        <v>3869.17</v>
      </c>
      <c r="K66" s="447">
        <v>0</v>
      </c>
      <c r="L66" s="272">
        <v>3278600.2043424998</v>
      </c>
      <c r="M66" s="450">
        <v>0</v>
      </c>
      <c r="N66" s="258">
        <v>379642.88</v>
      </c>
      <c r="P66" s="405">
        <v>0</v>
      </c>
      <c r="Q66" s="405">
        <v>0</v>
      </c>
      <c r="R66" s="405">
        <v>0</v>
      </c>
      <c r="S66" s="405">
        <v>0</v>
      </c>
      <c r="T66" s="405">
        <v>0</v>
      </c>
      <c r="U66" s="418">
        <v>0</v>
      </c>
      <c r="W66" s="70" t="s">
        <v>27</v>
      </c>
      <c r="X66" s="70" t="s">
        <v>1</v>
      </c>
      <c r="Y66" s="70" t="s">
        <v>46</v>
      </c>
      <c r="Z66" s="70" t="s">
        <v>24</v>
      </c>
    </row>
    <row r="67" spans="1:26" x14ac:dyDescent="0.3">
      <c r="A67" s="113"/>
      <c r="B67" s="113"/>
      <c r="C67" s="259" t="str">
        <f>$AD$9</f>
        <v>PGT (Other)</v>
      </c>
      <c r="D67" s="260" t="s">
        <v>12</v>
      </c>
      <c r="E67" s="82">
        <v>2224.84</v>
      </c>
      <c r="F67" s="406">
        <v>0</v>
      </c>
      <c r="G67" s="406">
        <v>0</v>
      </c>
      <c r="H67" s="406">
        <v>0</v>
      </c>
      <c r="I67" s="84">
        <v>0</v>
      </c>
      <c r="J67" s="261">
        <v>2224.84</v>
      </c>
      <c r="K67" s="263">
        <v>2447324</v>
      </c>
      <c r="L67" s="445">
        <v>0</v>
      </c>
      <c r="M67" s="445">
        <v>0</v>
      </c>
      <c r="N67" s="263">
        <v>103824.86</v>
      </c>
      <c r="P67" s="406">
        <v>0</v>
      </c>
      <c r="Q67" s="406">
        <v>0</v>
      </c>
      <c r="R67" s="406">
        <v>0</v>
      </c>
      <c r="S67" s="406">
        <v>0</v>
      </c>
      <c r="T67" s="406">
        <v>0</v>
      </c>
      <c r="U67" s="420">
        <v>0</v>
      </c>
      <c r="W67" s="70" t="s">
        <v>27</v>
      </c>
      <c r="X67" s="70" t="s">
        <v>1</v>
      </c>
      <c r="Y67" s="70" t="s">
        <v>47</v>
      </c>
      <c r="Z67" s="70" t="s">
        <v>23</v>
      </c>
    </row>
    <row r="68" spans="1:26" x14ac:dyDescent="0.3">
      <c r="A68" s="270"/>
      <c r="B68" s="270"/>
      <c r="C68" s="270"/>
      <c r="D68" s="178" t="s">
        <v>11</v>
      </c>
      <c r="E68" s="88">
        <v>663.86</v>
      </c>
      <c r="F68" s="407">
        <v>0</v>
      </c>
      <c r="G68" s="407">
        <v>0</v>
      </c>
      <c r="H68" s="407">
        <v>0</v>
      </c>
      <c r="I68" s="89">
        <v>0</v>
      </c>
      <c r="J68" s="271">
        <v>663.86</v>
      </c>
      <c r="K68" s="272">
        <v>730246</v>
      </c>
      <c r="L68" s="272">
        <v>562531.89486500004</v>
      </c>
      <c r="M68" s="447">
        <v>0</v>
      </c>
      <c r="N68" s="272">
        <v>20710.09</v>
      </c>
      <c r="P68" s="407">
        <v>0</v>
      </c>
      <c r="Q68" s="407">
        <v>0</v>
      </c>
      <c r="R68" s="407">
        <v>0</v>
      </c>
      <c r="S68" s="407">
        <v>0</v>
      </c>
      <c r="T68" s="407">
        <v>0</v>
      </c>
      <c r="U68" s="419">
        <v>0</v>
      </c>
      <c r="W68" s="70" t="s">
        <v>27</v>
      </c>
      <c r="X68" s="70" t="s">
        <v>1</v>
      </c>
      <c r="Y68" s="70" t="s">
        <v>47</v>
      </c>
      <c r="Z68" s="70" t="s">
        <v>24</v>
      </c>
    </row>
    <row r="69" spans="1:26" x14ac:dyDescent="0.3">
      <c r="A69" s="251" t="s">
        <v>9</v>
      </c>
      <c r="B69" s="113" t="s">
        <v>217</v>
      </c>
      <c r="C69" s="113" t="s">
        <v>6</v>
      </c>
      <c r="D69" s="252" t="s">
        <v>12</v>
      </c>
      <c r="E69" s="91">
        <v>348754.63</v>
      </c>
      <c r="F69" s="412">
        <v>0</v>
      </c>
      <c r="G69" s="412">
        <v>0</v>
      </c>
      <c r="H69" s="412">
        <v>0</v>
      </c>
      <c r="I69" s="92">
        <v>879.95</v>
      </c>
      <c r="J69" s="253">
        <v>349634.58</v>
      </c>
      <c r="K69" s="451">
        <v>0</v>
      </c>
      <c r="L69" s="452">
        <v>0</v>
      </c>
      <c r="M69" s="452">
        <v>0</v>
      </c>
      <c r="N69" s="254">
        <v>14281458.789999999</v>
      </c>
      <c r="P69" s="412">
        <v>0</v>
      </c>
      <c r="Q69" s="412">
        <v>0</v>
      </c>
      <c r="R69" s="412">
        <v>0</v>
      </c>
      <c r="S69" s="412">
        <v>0</v>
      </c>
      <c r="T69" s="412">
        <v>0</v>
      </c>
      <c r="U69" s="468">
        <v>0</v>
      </c>
      <c r="W69" s="70" t="s">
        <v>9</v>
      </c>
      <c r="X69" s="70" t="s">
        <v>2</v>
      </c>
      <c r="Y69" s="70" t="s">
        <v>6</v>
      </c>
      <c r="Z69" s="70" t="s">
        <v>23</v>
      </c>
    </row>
    <row r="70" spans="1:26" x14ac:dyDescent="0.3">
      <c r="A70" s="113"/>
      <c r="B70" s="113"/>
      <c r="C70" s="255"/>
      <c r="D70" s="256" t="s">
        <v>11</v>
      </c>
      <c r="E70" s="77">
        <v>1340.58</v>
      </c>
      <c r="F70" s="405">
        <v>0</v>
      </c>
      <c r="G70" s="405">
        <v>0</v>
      </c>
      <c r="H70" s="405">
        <v>0</v>
      </c>
      <c r="I70" s="78">
        <v>0</v>
      </c>
      <c r="J70" s="257">
        <v>1340.58</v>
      </c>
      <c r="K70" s="455">
        <v>0</v>
      </c>
      <c r="L70" s="447">
        <v>0</v>
      </c>
      <c r="M70" s="258">
        <v>1134422.0952804</v>
      </c>
      <c r="N70" s="272">
        <v>72177.52</v>
      </c>
      <c r="P70" s="405">
        <v>0</v>
      </c>
      <c r="Q70" s="405">
        <v>0</v>
      </c>
      <c r="R70" s="405">
        <v>0</v>
      </c>
      <c r="S70" s="405">
        <v>0</v>
      </c>
      <c r="T70" s="405">
        <v>0</v>
      </c>
      <c r="U70" s="418">
        <v>0</v>
      </c>
      <c r="W70" s="70" t="s">
        <v>9</v>
      </c>
      <c r="X70" s="70" t="s">
        <v>2</v>
      </c>
      <c r="Y70" s="70" t="s">
        <v>6</v>
      </c>
      <c r="Z70" s="70" t="s">
        <v>24</v>
      </c>
    </row>
    <row r="71" spans="1:26" x14ac:dyDescent="0.3">
      <c r="A71" s="113"/>
      <c r="B71" s="113"/>
      <c r="C71" s="259" t="str">
        <f>$AD$7</f>
        <v>PGT (UG fee)</v>
      </c>
      <c r="D71" s="252" t="s">
        <v>12</v>
      </c>
      <c r="E71" s="82">
        <v>34.76</v>
      </c>
      <c r="F71" s="406">
        <v>0</v>
      </c>
      <c r="G71" s="406">
        <v>0</v>
      </c>
      <c r="H71" s="406">
        <v>0</v>
      </c>
      <c r="I71" s="84">
        <v>0</v>
      </c>
      <c r="J71" s="261">
        <v>34.76</v>
      </c>
      <c r="K71" s="453">
        <v>0</v>
      </c>
      <c r="L71" s="445">
        <v>0</v>
      </c>
      <c r="M71" s="445">
        <v>0</v>
      </c>
      <c r="N71" s="263">
        <v>0</v>
      </c>
      <c r="P71" s="406">
        <v>0</v>
      </c>
      <c r="Q71" s="406">
        <v>0</v>
      </c>
      <c r="R71" s="406">
        <v>0</v>
      </c>
      <c r="S71" s="406">
        <v>0</v>
      </c>
      <c r="T71" s="406">
        <v>0</v>
      </c>
      <c r="U71" s="420">
        <v>0</v>
      </c>
      <c r="W71" s="70" t="s">
        <v>9</v>
      </c>
      <c r="X71" s="70" t="s">
        <v>2</v>
      </c>
      <c r="Y71" s="70" t="s">
        <v>33</v>
      </c>
      <c r="Z71" s="70" t="s">
        <v>23</v>
      </c>
    </row>
    <row r="72" spans="1:26" x14ac:dyDescent="0.3">
      <c r="A72" s="113"/>
      <c r="B72" s="113"/>
      <c r="C72" s="255"/>
      <c r="D72" s="256" t="s">
        <v>11</v>
      </c>
      <c r="E72" s="77">
        <v>0</v>
      </c>
      <c r="F72" s="405">
        <v>0</v>
      </c>
      <c r="G72" s="405">
        <v>0</v>
      </c>
      <c r="H72" s="405">
        <v>0</v>
      </c>
      <c r="I72" s="78">
        <v>0</v>
      </c>
      <c r="J72" s="257">
        <v>0</v>
      </c>
      <c r="K72" s="446">
        <v>0</v>
      </c>
      <c r="L72" s="447">
        <v>0</v>
      </c>
      <c r="M72" s="447">
        <v>0</v>
      </c>
      <c r="N72" s="258">
        <v>0</v>
      </c>
      <c r="P72" s="405">
        <v>0</v>
      </c>
      <c r="Q72" s="405">
        <v>0</v>
      </c>
      <c r="R72" s="405">
        <v>0</v>
      </c>
      <c r="S72" s="405">
        <v>0</v>
      </c>
      <c r="T72" s="405">
        <v>0</v>
      </c>
      <c r="U72" s="418">
        <v>0</v>
      </c>
      <c r="W72" s="70" t="s">
        <v>9</v>
      </c>
      <c r="X72" s="70" t="s">
        <v>2</v>
      </c>
      <c r="Y72" s="70" t="s">
        <v>33</v>
      </c>
      <c r="Z72" s="70" t="s">
        <v>24</v>
      </c>
    </row>
    <row r="73" spans="1:26" x14ac:dyDescent="0.3">
      <c r="A73" s="113"/>
      <c r="B73" s="113"/>
      <c r="C73" s="259" t="str">
        <f>$AD$8</f>
        <v>PGT (Masters' loan)</v>
      </c>
      <c r="D73" s="260" t="s">
        <v>12</v>
      </c>
      <c r="E73" s="82">
        <v>5322.48</v>
      </c>
      <c r="F73" s="406">
        <v>0</v>
      </c>
      <c r="G73" s="406">
        <v>0</v>
      </c>
      <c r="H73" s="406">
        <v>0</v>
      </c>
      <c r="I73" s="84">
        <v>0</v>
      </c>
      <c r="J73" s="261">
        <v>5322.48</v>
      </c>
      <c r="K73" s="453">
        <v>0</v>
      </c>
      <c r="L73" s="445">
        <v>0</v>
      </c>
      <c r="M73" s="445">
        <v>0</v>
      </c>
      <c r="N73" s="263">
        <v>383983.24</v>
      </c>
      <c r="P73" s="406">
        <v>0</v>
      </c>
      <c r="Q73" s="406">
        <v>0</v>
      </c>
      <c r="R73" s="406">
        <v>0</v>
      </c>
      <c r="S73" s="406">
        <v>0</v>
      </c>
      <c r="T73" s="406">
        <v>0</v>
      </c>
      <c r="U73" s="420">
        <v>0</v>
      </c>
      <c r="W73" s="70" t="s">
        <v>9</v>
      </c>
      <c r="X73" s="70" t="s">
        <v>2</v>
      </c>
      <c r="Y73" s="70" t="s">
        <v>46</v>
      </c>
      <c r="Z73" s="70" t="s">
        <v>23</v>
      </c>
    </row>
    <row r="74" spans="1:26" x14ac:dyDescent="0.3">
      <c r="A74" s="113"/>
      <c r="B74" s="113"/>
      <c r="C74" s="255"/>
      <c r="D74" s="256" t="s">
        <v>11</v>
      </c>
      <c r="E74" s="77">
        <v>20452.650000000001</v>
      </c>
      <c r="F74" s="405">
        <v>0</v>
      </c>
      <c r="G74" s="405">
        <v>0</v>
      </c>
      <c r="H74" s="405">
        <v>0</v>
      </c>
      <c r="I74" s="78">
        <v>7.31</v>
      </c>
      <c r="J74" s="257">
        <v>20459.96</v>
      </c>
      <c r="K74" s="446">
        <v>0</v>
      </c>
      <c r="L74" s="447">
        <v>0</v>
      </c>
      <c r="M74" s="447">
        <v>0</v>
      </c>
      <c r="N74" s="258">
        <v>1893564.7</v>
      </c>
      <c r="P74" s="405">
        <v>0</v>
      </c>
      <c r="Q74" s="405">
        <v>0</v>
      </c>
      <c r="R74" s="405">
        <v>0</v>
      </c>
      <c r="S74" s="405">
        <v>0</v>
      </c>
      <c r="T74" s="405">
        <v>0</v>
      </c>
      <c r="U74" s="418">
        <v>0</v>
      </c>
      <c r="W74" s="70" t="s">
        <v>9</v>
      </c>
      <c r="X74" s="70" t="s">
        <v>2</v>
      </c>
      <c r="Y74" s="70" t="s">
        <v>46</v>
      </c>
      <c r="Z74" s="70" t="s">
        <v>24</v>
      </c>
    </row>
    <row r="75" spans="1:26" x14ac:dyDescent="0.3">
      <c r="A75" s="113"/>
      <c r="B75" s="113"/>
      <c r="C75" s="259" t="str">
        <f>$AD$9</f>
        <v>PGT (Other)</v>
      </c>
      <c r="D75" s="260" t="s">
        <v>12</v>
      </c>
      <c r="E75" s="82">
        <v>1034.9100000000001</v>
      </c>
      <c r="F75" s="406">
        <v>0</v>
      </c>
      <c r="G75" s="406">
        <v>0</v>
      </c>
      <c r="H75" s="406">
        <v>0</v>
      </c>
      <c r="I75" s="84">
        <v>0</v>
      </c>
      <c r="J75" s="261">
        <v>1034.9100000000001</v>
      </c>
      <c r="K75" s="453">
        <v>0</v>
      </c>
      <c r="L75" s="445">
        <v>0</v>
      </c>
      <c r="M75" s="445">
        <v>0</v>
      </c>
      <c r="N75" s="263">
        <v>84007.32</v>
      </c>
      <c r="P75" s="406">
        <v>0</v>
      </c>
      <c r="Q75" s="406">
        <v>0</v>
      </c>
      <c r="R75" s="406">
        <v>0</v>
      </c>
      <c r="S75" s="406">
        <v>0</v>
      </c>
      <c r="T75" s="406">
        <v>0</v>
      </c>
      <c r="U75" s="420">
        <v>0</v>
      </c>
      <c r="W75" s="70" t="s">
        <v>9</v>
      </c>
      <c r="X75" s="70" t="s">
        <v>2</v>
      </c>
      <c r="Y75" s="70" t="s">
        <v>47</v>
      </c>
      <c r="Z75" s="70" t="s">
        <v>23</v>
      </c>
    </row>
    <row r="76" spans="1:26" x14ac:dyDescent="0.3">
      <c r="A76" s="113"/>
      <c r="B76" s="264"/>
      <c r="C76" s="264"/>
      <c r="D76" s="265" t="s">
        <v>11</v>
      </c>
      <c r="E76" s="266">
        <v>373.56</v>
      </c>
      <c r="F76" s="439">
        <v>0</v>
      </c>
      <c r="G76" s="439">
        <v>0</v>
      </c>
      <c r="H76" s="439">
        <v>0</v>
      </c>
      <c r="I76" s="267">
        <v>0</v>
      </c>
      <c r="J76" s="268">
        <v>373.56</v>
      </c>
      <c r="K76" s="460">
        <v>0</v>
      </c>
      <c r="L76" s="448">
        <v>0</v>
      </c>
      <c r="M76" s="448">
        <v>0</v>
      </c>
      <c r="N76" s="269">
        <v>9447</v>
      </c>
      <c r="P76" s="439">
        <v>0</v>
      </c>
      <c r="Q76" s="439">
        <v>0</v>
      </c>
      <c r="R76" s="439">
        <v>0</v>
      </c>
      <c r="S76" s="439">
        <v>0</v>
      </c>
      <c r="T76" s="439">
        <v>0</v>
      </c>
      <c r="U76" s="469">
        <v>0</v>
      </c>
      <c r="W76" s="70" t="s">
        <v>9</v>
      </c>
      <c r="X76" s="70" t="s">
        <v>2</v>
      </c>
      <c r="Y76" s="70" t="s">
        <v>47</v>
      </c>
      <c r="Z76" s="70" t="s">
        <v>24</v>
      </c>
    </row>
    <row r="77" spans="1:26" x14ac:dyDescent="0.3">
      <c r="A77" s="113"/>
      <c r="B77" s="113" t="s">
        <v>221</v>
      </c>
      <c r="C77" s="113" t="s">
        <v>6</v>
      </c>
      <c r="D77" s="252" t="s">
        <v>12</v>
      </c>
      <c r="E77" s="91">
        <v>25815.38</v>
      </c>
      <c r="F77" s="412">
        <v>0</v>
      </c>
      <c r="G77" s="412">
        <v>0</v>
      </c>
      <c r="H77" s="412">
        <v>0</v>
      </c>
      <c r="I77" s="92">
        <v>55.41</v>
      </c>
      <c r="J77" s="253">
        <v>25870.79</v>
      </c>
      <c r="K77" s="444">
        <v>0</v>
      </c>
      <c r="L77" s="449">
        <v>0</v>
      </c>
      <c r="M77" s="449">
        <v>0</v>
      </c>
      <c r="N77" s="262">
        <v>476447.04</v>
      </c>
      <c r="P77" s="412">
        <v>0</v>
      </c>
      <c r="Q77" s="412">
        <v>0</v>
      </c>
      <c r="R77" s="412">
        <v>0</v>
      </c>
      <c r="S77" s="412">
        <v>0</v>
      </c>
      <c r="T77" s="412">
        <v>0</v>
      </c>
      <c r="U77" s="468">
        <v>0</v>
      </c>
      <c r="W77" s="70" t="s">
        <v>9</v>
      </c>
      <c r="X77" s="70" t="s">
        <v>1</v>
      </c>
      <c r="Y77" s="70" t="s">
        <v>6</v>
      </c>
      <c r="Z77" s="70" t="s">
        <v>23</v>
      </c>
    </row>
    <row r="78" spans="1:26" x14ac:dyDescent="0.3">
      <c r="A78" s="113"/>
      <c r="B78" s="113"/>
      <c r="C78" s="255"/>
      <c r="D78" s="256" t="s">
        <v>11</v>
      </c>
      <c r="E78" s="77">
        <v>162.87</v>
      </c>
      <c r="F78" s="405">
        <v>0</v>
      </c>
      <c r="G78" s="405">
        <v>0</v>
      </c>
      <c r="H78" s="405">
        <v>0</v>
      </c>
      <c r="I78" s="78">
        <v>0</v>
      </c>
      <c r="J78" s="257">
        <v>162.87</v>
      </c>
      <c r="K78" s="446">
        <v>0</v>
      </c>
      <c r="L78" s="447">
        <v>0</v>
      </c>
      <c r="M78" s="447">
        <v>0</v>
      </c>
      <c r="N78" s="258">
        <v>9520.7999999999993</v>
      </c>
      <c r="P78" s="405">
        <v>0</v>
      </c>
      <c r="Q78" s="405">
        <v>0</v>
      </c>
      <c r="R78" s="405">
        <v>0</v>
      </c>
      <c r="S78" s="405">
        <v>0</v>
      </c>
      <c r="T78" s="405">
        <v>0</v>
      </c>
      <c r="U78" s="418">
        <v>0</v>
      </c>
      <c r="W78" s="70" t="s">
        <v>9</v>
      </c>
      <c r="X78" s="70" t="s">
        <v>1</v>
      </c>
      <c r="Y78" s="70" t="s">
        <v>6</v>
      </c>
      <c r="Z78" s="70" t="s">
        <v>24</v>
      </c>
    </row>
    <row r="79" spans="1:26" x14ac:dyDescent="0.3">
      <c r="A79" s="113"/>
      <c r="B79" s="113"/>
      <c r="C79" s="259" t="str">
        <f>$AD$7</f>
        <v>PGT (UG fee)</v>
      </c>
      <c r="D79" s="252" t="s">
        <v>12</v>
      </c>
      <c r="E79" s="82">
        <v>32.25</v>
      </c>
      <c r="F79" s="406">
        <v>0</v>
      </c>
      <c r="G79" s="406">
        <v>0</v>
      </c>
      <c r="H79" s="406">
        <v>0</v>
      </c>
      <c r="I79" s="84">
        <v>0</v>
      </c>
      <c r="J79" s="261">
        <v>32.25</v>
      </c>
      <c r="K79" s="444">
        <v>0</v>
      </c>
      <c r="L79" s="445">
        <v>0</v>
      </c>
      <c r="M79" s="445">
        <v>0</v>
      </c>
      <c r="N79" s="262">
        <v>73.36</v>
      </c>
      <c r="P79" s="406">
        <v>0</v>
      </c>
      <c r="Q79" s="406">
        <v>0</v>
      </c>
      <c r="R79" s="406">
        <v>0</v>
      </c>
      <c r="S79" s="406">
        <v>0</v>
      </c>
      <c r="T79" s="406">
        <v>0</v>
      </c>
      <c r="U79" s="420">
        <v>0</v>
      </c>
      <c r="W79" s="70" t="s">
        <v>9</v>
      </c>
      <c r="X79" s="70" t="s">
        <v>1</v>
      </c>
      <c r="Y79" s="70" t="s">
        <v>33</v>
      </c>
      <c r="Z79" s="70" t="s">
        <v>23</v>
      </c>
    </row>
    <row r="80" spans="1:26" x14ac:dyDescent="0.3">
      <c r="A80" s="113"/>
      <c r="B80" s="113"/>
      <c r="C80" s="255"/>
      <c r="D80" s="256" t="s">
        <v>11</v>
      </c>
      <c r="E80" s="77">
        <v>0</v>
      </c>
      <c r="F80" s="405">
        <v>0</v>
      </c>
      <c r="G80" s="405">
        <v>0</v>
      </c>
      <c r="H80" s="405">
        <v>0</v>
      </c>
      <c r="I80" s="78">
        <v>0</v>
      </c>
      <c r="J80" s="257">
        <v>0</v>
      </c>
      <c r="K80" s="446">
        <v>0</v>
      </c>
      <c r="L80" s="447">
        <v>0</v>
      </c>
      <c r="M80" s="447">
        <v>0</v>
      </c>
      <c r="N80" s="258">
        <v>0</v>
      </c>
      <c r="P80" s="405">
        <v>0</v>
      </c>
      <c r="Q80" s="405">
        <v>0</v>
      </c>
      <c r="R80" s="405">
        <v>0</v>
      </c>
      <c r="S80" s="405">
        <v>0</v>
      </c>
      <c r="T80" s="405">
        <v>0</v>
      </c>
      <c r="U80" s="418">
        <v>0</v>
      </c>
      <c r="W80" s="70" t="s">
        <v>9</v>
      </c>
      <c r="X80" s="70" t="s">
        <v>1</v>
      </c>
      <c r="Y80" s="70" t="s">
        <v>33</v>
      </c>
      <c r="Z80" s="70" t="s">
        <v>24</v>
      </c>
    </row>
    <row r="81" spans="1:28" x14ac:dyDescent="0.3">
      <c r="A81" s="113"/>
      <c r="B81" s="113"/>
      <c r="C81" s="259" t="str">
        <f>$AD$8</f>
        <v>PGT (Masters' loan)</v>
      </c>
      <c r="D81" s="260" t="s">
        <v>12</v>
      </c>
      <c r="E81" s="82">
        <v>2906.6</v>
      </c>
      <c r="F81" s="406">
        <v>0</v>
      </c>
      <c r="G81" s="406">
        <v>0</v>
      </c>
      <c r="H81" s="406">
        <v>0</v>
      </c>
      <c r="I81" s="84">
        <v>11.49</v>
      </c>
      <c r="J81" s="261">
        <v>2918.09</v>
      </c>
      <c r="K81" s="444">
        <v>0</v>
      </c>
      <c r="L81" s="445">
        <v>0</v>
      </c>
      <c r="M81" s="445">
        <v>0</v>
      </c>
      <c r="N81" s="262">
        <v>186271.05</v>
      </c>
      <c r="P81" s="406">
        <v>0</v>
      </c>
      <c r="Q81" s="406">
        <v>0</v>
      </c>
      <c r="R81" s="406">
        <v>0</v>
      </c>
      <c r="S81" s="406">
        <v>0</v>
      </c>
      <c r="T81" s="406">
        <v>0</v>
      </c>
      <c r="U81" s="420">
        <v>0</v>
      </c>
      <c r="W81" s="70" t="s">
        <v>9</v>
      </c>
      <c r="X81" s="70" t="s">
        <v>1</v>
      </c>
      <c r="Y81" s="70" t="s">
        <v>46</v>
      </c>
      <c r="Z81" s="70" t="s">
        <v>23</v>
      </c>
    </row>
    <row r="82" spans="1:28" x14ac:dyDescent="0.3">
      <c r="A82" s="113"/>
      <c r="B82" s="113"/>
      <c r="C82" s="255"/>
      <c r="D82" s="256" t="s">
        <v>11</v>
      </c>
      <c r="E82" s="77">
        <v>7317.66</v>
      </c>
      <c r="F82" s="405">
        <v>0</v>
      </c>
      <c r="G82" s="405">
        <v>0</v>
      </c>
      <c r="H82" s="405">
        <v>0</v>
      </c>
      <c r="I82" s="78">
        <v>3</v>
      </c>
      <c r="J82" s="257">
        <v>7320.66</v>
      </c>
      <c r="K82" s="446">
        <v>0</v>
      </c>
      <c r="L82" s="447">
        <v>0</v>
      </c>
      <c r="M82" s="447">
        <v>0</v>
      </c>
      <c r="N82" s="258">
        <v>604261.51</v>
      </c>
      <c r="P82" s="405">
        <v>0</v>
      </c>
      <c r="Q82" s="405">
        <v>0</v>
      </c>
      <c r="R82" s="405">
        <v>0</v>
      </c>
      <c r="S82" s="405">
        <v>0</v>
      </c>
      <c r="T82" s="405">
        <v>0</v>
      </c>
      <c r="U82" s="418">
        <v>0</v>
      </c>
      <c r="W82" s="70" t="s">
        <v>9</v>
      </c>
      <c r="X82" s="70" t="s">
        <v>1</v>
      </c>
      <c r="Y82" s="70" t="s">
        <v>46</v>
      </c>
      <c r="Z82" s="70" t="s">
        <v>24</v>
      </c>
    </row>
    <row r="83" spans="1:28" x14ac:dyDescent="0.3">
      <c r="A83" s="113"/>
      <c r="B83" s="113"/>
      <c r="C83" s="259" t="str">
        <f>$AD$9</f>
        <v>PGT (Other)</v>
      </c>
      <c r="D83" s="260" t="s">
        <v>12</v>
      </c>
      <c r="E83" s="82">
        <v>2111.92</v>
      </c>
      <c r="F83" s="406">
        <v>0</v>
      </c>
      <c r="G83" s="406">
        <v>0</v>
      </c>
      <c r="H83" s="406">
        <v>0</v>
      </c>
      <c r="I83" s="84">
        <v>-1</v>
      </c>
      <c r="J83" s="261">
        <v>2110.92</v>
      </c>
      <c r="K83" s="453">
        <v>0</v>
      </c>
      <c r="L83" s="445">
        <v>0</v>
      </c>
      <c r="M83" s="445">
        <v>0</v>
      </c>
      <c r="N83" s="263">
        <v>70545.86</v>
      </c>
      <c r="P83" s="406">
        <v>0</v>
      </c>
      <c r="Q83" s="406">
        <v>0</v>
      </c>
      <c r="R83" s="406">
        <v>0</v>
      </c>
      <c r="S83" s="406">
        <v>0</v>
      </c>
      <c r="T83" s="406">
        <v>0</v>
      </c>
      <c r="U83" s="420">
        <v>0</v>
      </c>
      <c r="W83" s="70" t="s">
        <v>9</v>
      </c>
      <c r="X83" s="70" t="s">
        <v>1</v>
      </c>
      <c r="Y83" s="70" t="s">
        <v>47</v>
      </c>
      <c r="Z83" s="70" t="s">
        <v>23</v>
      </c>
    </row>
    <row r="84" spans="1:28" ht="14" thickBot="1" x14ac:dyDescent="0.35">
      <c r="A84" s="113"/>
      <c r="B84" s="113"/>
      <c r="C84" s="113"/>
      <c r="D84" s="252" t="s">
        <v>11</v>
      </c>
      <c r="E84" s="95">
        <v>930.52</v>
      </c>
      <c r="F84" s="413">
        <v>0</v>
      </c>
      <c r="G84" s="413">
        <v>0</v>
      </c>
      <c r="H84" s="413">
        <v>0</v>
      </c>
      <c r="I84" s="103">
        <v>0</v>
      </c>
      <c r="J84" s="288">
        <v>930.52</v>
      </c>
      <c r="K84" s="455">
        <v>0</v>
      </c>
      <c r="L84" s="450">
        <v>0</v>
      </c>
      <c r="M84" s="450">
        <v>0</v>
      </c>
      <c r="N84" s="272">
        <v>40053.160000000003</v>
      </c>
      <c r="P84" s="413">
        <v>0</v>
      </c>
      <c r="Q84" s="413">
        <v>0</v>
      </c>
      <c r="R84" s="413">
        <v>0</v>
      </c>
      <c r="S84" s="413">
        <v>0</v>
      </c>
      <c r="T84" s="413">
        <v>0</v>
      </c>
      <c r="U84" s="421">
        <v>0</v>
      </c>
      <c r="W84" s="70" t="s">
        <v>9</v>
      </c>
      <c r="X84" s="70" t="s">
        <v>1</v>
      </c>
      <c r="Y84" s="70" t="s">
        <v>47</v>
      </c>
      <c r="Z84" s="70" t="s">
        <v>24</v>
      </c>
    </row>
    <row r="85" spans="1:28" ht="14.25" customHeight="1" thickTop="1" x14ac:dyDescent="0.3">
      <c r="A85" s="96" t="s">
        <v>3</v>
      </c>
      <c r="B85" s="563" t="s">
        <v>220</v>
      </c>
      <c r="C85" s="289" t="s">
        <v>6</v>
      </c>
      <c r="D85" s="290"/>
      <c r="E85" s="291">
        <f>SUM(E5:E6,E17:E18,E33:E34,E49:E50,E57,E69:E70)</f>
        <v>1001967.5</v>
      </c>
      <c r="F85" s="292">
        <f>SUM(F17:F18,F33:F34,F57)</f>
        <v>20588</v>
      </c>
      <c r="G85" s="443"/>
      <c r="H85" s="292">
        <f>SUM(H5:H6)</f>
        <v>118</v>
      </c>
      <c r="I85" s="292">
        <f>SUM(I5:I6,I17:I18,I33:I34,I49:I50,I57,I69:I70)</f>
        <v>2468.94</v>
      </c>
      <c r="J85" s="293">
        <f t="shared" ref="J85" si="0">SUM(J5:J6,J17:J18,J33:J34,J49:J50,J57,J69:J70)</f>
        <v>1025142.4400000001</v>
      </c>
      <c r="K85" s="461"/>
      <c r="L85" s="461"/>
      <c r="M85" s="294">
        <f>SUM(M18,M34,M50,M70)</f>
        <v>4360248.4314897005</v>
      </c>
      <c r="N85" s="294">
        <f>SUM(N5:N6,N17:N18,N33:N34,N49:N50,N57,N69:N70)</f>
        <v>56004849.06000001</v>
      </c>
      <c r="P85" s="292">
        <f>SUM(P17:P18,P33:P34,P57)</f>
        <v>20287</v>
      </c>
      <c r="Q85" s="292">
        <f>SUM(Q5,Q6,Q17,Q18,Q33,Q34,Q57)</f>
        <v>24574</v>
      </c>
      <c r="R85" s="292">
        <f>SUM(R5:R6,R17:R18,R33:R34,R57)</f>
        <v>65567</v>
      </c>
      <c r="S85" s="461"/>
      <c r="T85" s="295">
        <f>SUM(T18,T34)</f>
        <v>0</v>
      </c>
      <c r="U85" s="295">
        <f>SUM(U5:U6,U17:U18,U33:U34,U57)</f>
        <v>2857169</v>
      </c>
    </row>
    <row r="86" spans="1:28" x14ac:dyDescent="0.3">
      <c r="A86" s="101"/>
      <c r="B86" s="564"/>
      <c r="C86" s="296" t="str">
        <f>$AD$7</f>
        <v>PGT (UG fee)</v>
      </c>
      <c r="D86" s="297"/>
      <c r="E86" s="280">
        <f>SUM(E19:E20,E35:E36,E51:E52,E58,E71:E72)</f>
        <v>5240</v>
      </c>
      <c r="F86" s="440"/>
      <c r="G86" s="281">
        <f>SUM(G19:G20,G35:G36,G58)</f>
        <v>2156</v>
      </c>
      <c r="H86" s="440"/>
      <c r="I86" s="281">
        <f t="shared" ref="I86:J86" si="1">SUM(I19:I20,I35:I36,I51:I52,I58,I71:I72)</f>
        <v>0</v>
      </c>
      <c r="J86" s="298">
        <f t="shared" si="1"/>
        <v>7396</v>
      </c>
      <c r="K86" s="462"/>
      <c r="L86" s="299">
        <f>SUM(L20,L36,L52)</f>
        <v>64464.94096</v>
      </c>
      <c r="M86" s="462"/>
      <c r="N86" s="299">
        <f>SUM(N19:N20,N35:N36,N51:N52,N58,N71:N72)</f>
        <v>831638</v>
      </c>
      <c r="P86" s="440"/>
      <c r="Q86" s="281">
        <f>SUM(Q19:Q20,Q35:Q36,Q58)</f>
        <v>2226</v>
      </c>
      <c r="R86" s="281">
        <f>SUM(R19:R20,R35:R36,R58)</f>
        <v>4382</v>
      </c>
      <c r="S86" s="300">
        <f>SUM(S20,S36)</f>
        <v>24378.046439999998</v>
      </c>
      <c r="T86" s="440"/>
      <c r="U86" s="300">
        <f>SUM(U19:U20,U35:U36,U58)</f>
        <v>580074</v>
      </c>
    </row>
    <row r="87" spans="1:28" x14ac:dyDescent="0.3">
      <c r="A87" s="101"/>
      <c r="B87" s="564"/>
      <c r="C87" s="296" t="str">
        <f>$AD$8</f>
        <v>PGT (Masters' loan)</v>
      </c>
      <c r="D87" s="297"/>
      <c r="E87" s="280">
        <f>SUM(E7:E8,E21:E22,E37:E38,E53:E54,E59,E73:E74)</f>
        <v>59868.500000000007</v>
      </c>
      <c r="F87" s="440"/>
      <c r="G87" s="440"/>
      <c r="H87" s="440"/>
      <c r="I87" s="281">
        <f t="shared" ref="I87:N87" si="2">SUM(I7:I8,I21:I22,I37:I38,I53:I54,I59,I73:I74)</f>
        <v>9.129999999999999</v>
      </c>
      <c r="J87" s="298">
        <f t="shared" si="2"/>
        <v>59877.63</v>
      </c>
      <c r="K87" s="462"/>
      <c r="L87" s="299">
        <f>SUM(L22,L38,L54)</f>
        <v>25247932.692854799</v>
      </c>
      <c r="M87" s="462"/>
      <c r="N87" s="299">
        <f t="shared" si="2"/>
        <v>7238029.8900000015</v>
      </c>
      <c r="P87" s="440"/>
      <c r="Q87" s="440"/>
      <c r="R87" s="440"/>
      <c r="S87" s="440"/>
      <c r="T87" s="440"/>
      <c r="U87" s="465"/>
    </row>
    <row r="88" spans="1:28" x14ac:dyDescent="0.3">
      <c r="A88" s="101"/>
      <c r="B88" s="565"/>
      <c r="C88" s="301" t="str">
        <f>$AD$9</f>
        <v>PGT (Other)</v>
      </c>
      <c r="D88" s="302"/>
      <c r="E88" s="284">
        <f>SUM(E9:E10,E23:E24,E39:E40,E55:E56,E60,E75:E76)</f>
        <v>3761.9999999999995</v>
      </c>
      <c r="F88" s="441"/>
      <c r="G88" s="441"/>
      <c r="H88" s="441"/>
      <c r="I88" s="285">
        <f t="shared" ref="I88:N88" si="3">SUM(I9:I10,I23:I24,I39:I40,I55:I56,I60,I75:I76)</f>
        <v>2</v>
      </c>
      <c r="J88" s="286">
        <f t="shared" si="3"/>
        <v>3763.9999999999995</v>
      </c>
      <c r="K88" s="287">
        <f>SUM(K9:K10,K23:K24,K39:K40,K55:K56)</f>
        <v>2591083</v>
      </c>
      <c r="L88" s="287">
        <f>SUM(L24,L40,L56)</f>
        <v>743467.84141160012</v>
      </c>
      <c r="M88" s="463"/>
      <c r="N88" s="287">
        <f t="shared" si="3"/>
        <v>313048.43999999994</v>
      </c>
      <c r="P88" s="441"/>
      <c r="Q88" s="441"/>
      <c r="R88" s="441"/>
      <c r="S88" s="441"/>
      <c r="T88" s="441"/>
      <c r="U88" s="467"/>
    </row>
    <row r="89" spans="1:28" x14ac:dyDescent="0.3">
      <c r="A89" s="101"/>
      <c r="B89" s="101" t="s">
        <v>221</v>
      </c>
      <c r="C89" s="303" t="s">
        <v>6</v>
      </c>
      <c r="D89" s="304"/>
      <c r="E89" s="274">
        <f>SUM(E11:E12,E25:E26,E41:E42,E61:E62,E77:E78)</f>
        <v>69948.349999999991</v>
      </c>
      <c r="F89" s="275">
        <f>SUM(F25:F26,F41:F42)</f>
        <v>338.75</v>
      </c>
      <c r="G89" s="438"/>
      <c r="H89" s="275">
        <f>SUM(H11:H12)</f>
        <v>0.4</v>
      </c>
      <c r="I89" s="275">
        <f t="shared" ref="I89:N89" si="4">SUM(I11:I12,I25:I26,I41:I42,I61:I62,I77:I78)</f>
        <v>60.12</v>
      </c>
      <c r="J89" s="276">
        <f t="shared" si="4"/>
        <v>70347.62</v>
      </c>
      <c r="K89" s="456"/>
      <c r="L89" s="456"/>
      <c r="M89" s="456"/>
      <c r="N89" s="277">
        <f t="shared" si="4"/>
        <v>1951876.4600000002</v>
      </c>
      <c r="P89" s="275">
        <f>SUM(P25:P26,P41:P42)</f>
        <v>253.14999999999998</v>
      </c>
      <c r="Q89" s="275">
        <f>SUM(Q11:Q12,Q25:Q26,Q41:Q42)</f>
        <v>335.33</v>
      </c>
      <c r="R89" s="275">
        <f>SUM(R11:R12,R25:R26,R41:R42)</f>
        <v>927.63</v>
      </c>
      <c r="S89" s="438"/>
      <c r="T89" s="438"/>
      <c r="U89" s="277">
        <f>SUM(U11:U12,U25:U26,U41:U42)</f>
        <v>35435.019999999997</v>
      </c>
    </row>
    <row r="90" spans="1:28" x14ac:dyDescent="0.3">
      <c r="A90" s="101"/>
      <c r="B90" s="101"/>
      <c r="C90" s="296" t="str">
        <f>$AD$7</f>
        <v>PGT (UG fee)</v>
      </c>
      <c r="D90" s="297"/>
      <c r="E90" s="280">
        <f>SUM(E27:E28,E43:E44,E63:E64,E79:E80)</f>
        <v>696.07</v>
      </c>
      <c r="F90" s="440"/>
      <c r="G90" s="281">
        <f>SUM(G27:G28,G43:G44)</f>
        <v>15.62</v>
      </c>
      <c r="H90" s="440"/>
      <c r="I90" s="281">
        <f t="shared" ref="I90:N90" si="5">SUM(I27:I28,I43:I44,I63:I64,I79:I80)</f>
        <v>0</v>
      </c>
      <c r="J90" s="298">
        <f t="shared" si="5"/>
        <v>711.69</v>
      </c>
      <c r="K90" s="462"/>
      <c r="L90" s="299">
        <f>SUM(L28,L44,L64)</f>
        <v>789.35332159999996</v>
      </c>
      <c r="M90" s="462"/>
      <c r="N90" s="299">
        <f t="shared" si="5"/>
        <v>30880.84</v>
      </c>
      <c r="P90" s="440"/>
      <c r="Q90" s="281">
        <f>SUM(Q27:Q28,Q43:Q44)</f>
        <v>2.98</v>
      </c>
      <c r="R90" s="281">
        <f>SUM(R27:R28,R43:R44)</f>
        <v>18.600000000000001</v>
      </c>
      <c r="S90" s="300">
        <f>SUM(S28,S44)</f>
        <v>0</v>
      </c>
      <c r="T90" s="440"/>
      <c r="U90" s="300">
        <f>SUM(U27:U28,U43:U44)</f>
        <v>3578.73</v>
      </c>
    </row>
    <row r="91" spans="1:28" x14ac:dyDescent="0.3">
      <c r="A91" s="101"/>
      <c r="B91" s="101"/>
      <c r="C91" s="296" t="str">
        <f>$AD$8</f>
        <v>PGT (Masters' loan)</v>
      </c>
      <c r="D91" s="297"/>
      <c r="E91" s="280">
        <f>SUM(E13:E14,E29:E30,E45:E46,E65:E66,E81:E82)</f>
        <v>21778.81</v>
      </c>
      <c r="F91" s="440"/>
      <c r="G91" s="440"/>
      <c r="H91" s="440"/>
      <c r="I91" s="281">
        <f t="shared" ref="I91:N91" si="6">SUM(I13:I14,I29:I30,I45:I46,I65:I66,I81:I82)</f>
        <v>25.72</v>
      </c>
      <c r="J91" s="298">
        <f t="shared" si="6"/>
        <v>21804.53</v>
      </c>
      <c r="K91" s="462"/>
      <c r="L91" s="299">
        <f>SUM(L30,L46,L66)</f>
        <v>7412760.9858761998</v>
      </c>
      <c r="M91" s="462"/>
      <c r="N91" s="299">
        <f t="shared" si="6"/>
        <v>2147428.9500000002</v>
      </c>
      <c r="P91" s="440"/>
      <c r="Q91" s="440"/>
      <c r="R91" s="440"/>
      <c r="S91" s="440"/>
      <c r="T91" s="440"/>
      <c r="U91" s="465"/>
    </row>
    <row r="92" spans="1:28" x14ac:dyDescent="0.3">
      <c r="A92" s="101"/>
      <c r="B92" s="305"/>
      <c r="C92" s="306" t="str">
        <f>$AD$9</f>
        <v>PGT (Other)</v>
      </c>
      <c r="D92" s="307"/>
      <c r="E92" s="308">
        <f>SUM(E15:E16,E31:E32,E47:E48,E67:E68,E83:E84)</f>
        <v>8302.7200000000012</v>
      </c>
      <c r="F92" s="442"/>
      <c r="G92" s="442"/>
      <c r="H92" s="442"/>
      <c r="I92" s="309">
        <f t="shared" ref="I92:J92" si="7">SUM(I15:I16,I31:I32,I47:I48,I67:I68,I83:I84)</f>
        <v>-0.79</v>
      </c>
      <c r="J92" s="310">
        <f t="shared" si="7"/>
        <v>8301.93</v>
      </c>
      <c r="K92" s="311">
        <f>SUM(K15:K16,K31:K32,K47:K48,K67:K68)</f>
        <v>5786539</v>
      </c>
      <c r="L92" s="311">
        <f>SUM(L32,L48,L68)</f>
        <v>1507975.7622111002</v>
      </c>
      <c r="M92" s="464"/>
      <c r="N92" s="311">
        <f>SUM(N15:N16,N31:N32,N47:N48,N67:N68,N83:N84)</f>
        <v>577221.2300000001</v>
      </c>
      <c r="P92" s="442"/>
      <c r="Q92" s="442"/>
      <c r="R92" s="442"/>
      <c r="S92" s="442"/>
      <c r="T92" s="442"/>
      <c r="U92" s="466"/>
    </row>
    <row r="93" spans="1:28" ht="14" thickBot="1" x14ac:dyDescent="0.35">
      <c r="A93" s="312"/>
      <c r="B93" s="312"/>
      <c r="C93" s="313" t="s">
        <v>4</v>
      </c>
      <c r="D93" s="314"/>
      <c r="E93" s="315">
        <f>SUM(E85:E92)</f>
        <v>1171563.9500000002</v>
      </c>
      <c r="F93" s="109">
        <f>SUM(F85,F89)</f>
        <v>20926.75</v>
      </c>
      <c r="G93" s="109">
        <f>SUM(G86,G90)</f>
        <v>2171.62</v>
      </c>
      <c r="H93" s="109">
        <f>SUM(H85,H89)</f>
        <v>118.4</v>
      </c>
      <c r="I93" s="109">
        <f t="shared" ref="I93:J93" si="8">SUM(I85:I92)</f>
        <v>2565.12</v>
      </c>
      <c r="J93" s="316">
        <f t="shared" si="8"/>
        <v>1197345.8399999999</v>
      </c>
      <c r="K93" s="317">
        <f>ROUND(SUM(K87:K88,K91:K92),0)</f>
        <v>8377622</v>
      </c>
      <c r="L93" s="317">
        <f>ROUND(SUM(L86:L88,L90:L92),0)</f>
        <v>34977392</v>
      </c>
      <c r="M93" s="317">
        <f>ROUND(M85,0)</f>
        <v>4360248</v>
      </c>
      <c r="N93" s="317">
        <f t="shared" ref="N93" si="9">ROUND(SUM(N85:N92),0)</f>
        <v>69094973</v>
      </c>
      <c r="P93" s="109">
        <f>SUM(P85,P89)</f>
        <v>20540.150000000001</v>
      </c>
      <c r="Q93" s="109">
        <f>SUM(Q85:Q86,Q89:Q90)</f>
        <v>27138.31</v>
      </c>
      <c r="R93" s="109">
        <f>SUM(R85:R86,R89:R90)</f>
        <v>70895.23000000001</v>
      </c>
      <c r="S93" s="110">
        <f>ROUND(SUM(S86,S90),0)</f>
        <v>24378</v>
      </c>
      <c r="T93" s="110">
        <f>ROUND(T85,0)</f>
        <v>0</v>
      </c>
      <c r="U93" s="110">
        <f>ROUND(SUM(U85:U86,U89:U90),0)</f>
        <v>3476257</v>
      </c>
    </row>
    <row r="94" spans="1:28" x14ac:dyDescent="0.3">
      <c r="K94" s="318"/>
      <c r="L94" s="318"/>
      <c r="M94" s="318"/>
      <c r="N94" s="318"/>
      <c r="AB94" s="400"/>
    </row>
    <row r="95" spans="1:28" x14ac:dyDescent="0.3">
      <c r="A95" s="7" t="s">
        <v>281</v>
      </c>
      <c r="K95" s="318"/>
      <c r="L95" s="318"/>
      <c r="M95" s="318"/>
      <c r="N95" s="318"/>
      <c r="AB95" s="15"/>
    </row>
    <row r="96" spans="1:28" x14ac:dyDescent="0.3">
      <c r="A96" s="7" t="s">
        <v>282</v>
      </c>
      <c r="K96" s="318"/>
      <c r="L96" s="318"/>
      <c r="M96" s="318"/>
      <c r="N96" s="318"/>
    </row>
    <row r="98" spans="5:21" hidden="1" x14ac:dyDescent="0.3">
      <c r="E98" s="319" t="s">
        <v>43</v>
      </c>
      <c r="F98" s="319" t="s">
        <v>191</v>
      </c>
      <c r="G98" s="319" t="s">
        <v>193</v>
      </c>
      <c r="H98" s="319" t="s">
        <v>194</v>
      </c>
      <c r="I98" s="319" t="s">
        <v>258</v>
      </c>
      <c r="J98" s="319" t="s">
        <v>295</v>
      </c>
      <c r="K98" s="319" t="s">
        <v>296</v>
      </c>
      <c r="L98" s="319" t="s">
        <v>293</v>
      </c>
      <c r="M98" s="319" t="s">
        <v>294</v>
      </c>
      <c r="N98" s="319" t="s">
        <v>297</v>
      </c>
      <c r="P98" s="319" t="s">
        <v>192</v>
      </c>
      <c r="Q98" s="319" t="s">
        <v>257</v>
      </c>
      <c r="R98" s="319" t="s">
        <v>132</v>
      </c>
      <c r="S98" s="319" t="s">
        <v>298</v>
      </c>
      <c r="T98" s="319" t="s">
        <v>299</v>
      </c>
      <c r="U98" s="320" t="s">
        <v>300</v>
      </c>
    </row>
    <row r="99" spans="5:21" s="15" customFormat="1" x14ac:dyDescent="0.3">
      <c r="E99" s="45"/>
      <c r="F99" s="45"/>
      <c r="G99" s="45"/>
      <c r="H99" s="45"/>
      <c r="I99" s="45"/>
      <c r="J99" s="45"/>
      <c r="K99" s="45"/>
      <c r="L99" s="45"/>
      <c r="M99" s="45"/>
      <c r="N99" s="45"/>
      <c r="O99" s="47"/>
      <c r="P99" s="45"/>
      <c r="Q99" s="45"/>
      <c r="R99" s="45"/>
      <c r="S99" s="45"/>
      <c r="T99" s="45"/>
    </row>
  </sheetData>
  <mergeCells count="4">
    <mergeCell ref="A1:J1"/>
    <mergeCell ref="B85:B88"/>
    <mergeCell ref="B57:B58"/>
    <mergeCell ref="P3:U3"/>
  </mergeCells>
  <phoneticPr fontId="0" type="noConversion"/>
  <conditionalFormatting sqref="E5:E93 F89 F85 F57 F41:F42 F33:F34 F25:F26 F17:F18 G19:G20 G27:G28 G35:G36 G43:G44 G58 G86 H85 G90 F93:H93 H89 I5:J93 H5:H6 H11:H12 K9:K10 K15:K16 K23:K24 K31:K32 K39:K40 L40 L38 L36 M34 L32 L30 L28 L24 L22 L20 M18 L44 L46 K47:K48 L48 L52 L54 L56 K55:K56 M50 L64 L66 L68 K67:K68 M70 M85 L86:L88 K88 K92:K93 L90:L93 M93 N5:N93 Q5:R6 U5:U6 Q11:R12 U11:U12 P17:R18 Q19:S20 T18 U17:U20 P25:S26 Q27:S28 U25:U28 P33:S34 T34 U33:U36 Q35:S36 P41:S42 U41:U44 Q43:S44 P57:R57 Q58:R58 U57:U58 P85:U85 Q86:S86 U86 P89:S89 Q90:S90 U89:U90 P93:U93">
    <cfRule type="cellIs" dxfId="2" priority="4" operator="equal">
      <formula>0</formula>
    </cfRule>
  </conditionalFormatting>
  <conditionalFormatting sqref="F5:G16 G17:G18 F19:F20 F21:G24 G25:H26 F27:F32 H7:H10 G29:H34 F35:F40 G37:G42 F43:F56 G45:G57 F58:F84 G59:G85 F86:F88 G87:H88 G89 F90:F92 G91:H92 L5:M16 K5:K8 P5:P16 Q87:U88 T86 T89:T90 Q91:U92 Q59:U84 S57:T58 Q51:U56 U50 Q45:U49 T35:T44 U37:U40 T33 Q29:U32 T25:T28 Q21:U24 T19:T20 T17 Q13:U16 T11:T12 Q7:U10 S5:T6 H11:S123">
    <cfRule type="cellIs" dxfId="1" priority="3" operator="equal">
      <formula>0</formula>
    </cfRule>
  </conditionalFormatting>
  <conditionalFormatting sqref="T50">
    <cfRule type="cellIs" dxfId="0" priority="1" operator="equal">
      <formula>0</formula>
    </cfRule>
  </conditionalFormatting>
  <pageMargins left="0.70866141732283472" right="0.70866141732283472" top="0.74803149606299213" bottom="0.74803149606299213" header="0.31496062992125984" footer="0.31496062992125984"/>
  <pageSetup paperSize="9" scale="58" fitToWidth="2" fitToHeight="2" orientation="landscape" r:id="rId1"/>
  <headerFooter>
    <oddHeader>&amp;CPage &amp;P&amp;R&amp;F</oddHeader>
  </headerFooter>
  <rowBreaks count="1" manualBreakCount="1">
    <brk id="48" max="21" man="1"/>
  </rowBreaks>
  <colBreaks count="1" manualBreakCount="1">
    <brk id="14" max="95" man="1"/>
  </colBreaks>
  <ignoredErrors>
    <ignoredError sqref="G93" formula="1"/>
    <ignoredError sqref="K89:K90 U87:U88 R87:R88"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6" tint="0.39997558519241921"/>
    <pageSetUpPr fitToPage="1"/>
  </sheetPr>
  <dimension ref="A1:N61"/>
  <sheetViews>
    <sheetView showGridLines="0" zoomScaleNormal="100" workbookViewId="0">
      <selection sqref="A1:G1"/>
    </sheetView>
  </sheetViews>
  <sheetFormatPr defaultColWidth="9.1796875" defaultRowHeight="15" customHeight="1" x14ac:dyDescent="0.3"/>
  <cols>
    <col min="1" max="1" width="16.81640625" style="7" customWidth="1"/>
    <col min="2" max="2" width="18.7265625" style="7" customWidth="1"/>
    <col min="3" max="3" width="16.7265625" style="7" customWidth="1"/>
    <col min="4" max="4" width="14.26953125" style="7" customWidth="1"/>
    <col min="5" max="5" width="11.54296875" style="7" customWidth="1"/>
    <col min="6" max="6" width="11.1796875" style="7" bestFit="1" customWidth="1"/>
    <col min="7" max="7" width="11.1796875" style="15" customWidth="1"/>
    <col min="8" max="8" width="13.54296875" style="15" bestFit="1" customWidth="1"/>
    <col min="9" max="11" width="12" style="15" customWidth="1"/>
    <col min="12" max="12" width="11.81640625" style="7" customWidth="1"/>
    <col min="13" max="14" width="9.1796875" style="7" customWidth="1"/>
    <col min="15" max="17" width="9.1796875" style="7"/>
    <col min="18" max="18" width="14.7265625" style="7" bestFit="1" customWidth="1"/>
    <col min="19" max="16384" width="9.1796875" style="7"/>
  </cols>
  <sheetData>
    <row r="1" spans="1:14" ht="15.75" customHeight="1" x14ac:dyDescent="0.3">
      <c r="A1" s="510" t="str">
        <f>'A Summary'!J8</f>
        <v xml:space="preserve">Sector summary of all providers </v>
      </c>
      <c r="B1" s="510"/>
      <c r="C1" s="510"/>
      <c r="D1" s="510"/>
      <c r="E1" s="510"/>
      <c r="F1" s="510"/>
      <c r="G1" s="510"/>
      <c r="H1" s="10"/>
      <c r="I1" s="10"/>
      <c r="J1" s="322"/>
      <c r="K1" s="322"/>
      <c r="L1" s="15"/>
    </row>
    <row r="2" spans="1:14" ht="15" customHeight="1" x14ac:dyDescent="0.3">
      <c r="A2" s="321"/>
      <c r="L2" s="15"/>
    </row>
    <row r="3" spans="1:14" ht="15.75" customHeight="1" x14ac:dyDescent="0.35">
      <c r="A3" s="570" t="s">
        <v>253</v>
      </c>
      <c r="B3" s="570"/>
      <c r="C3" s="570"/>
      <c r="D3" s="570"/>
      <c r="E3" s="570"/>
      <c r="F3" s="10"/>
      <c r="G3" s="322"/>
      <c r="H3" s="322"/>
      <c r="I3" s="322"/>
      <c r="J3" s="322"/>
      <c r="K3" s="322"/>
      <c r="L3" s="15"/>
    </row>
    <row r="4" spans="1:14" ht="15" customHeight="1" x14ac:dyDescent="0.3">
      <c r="L4" s="15"/>
    </row>
    <row r="5" spans="1:14" ht="21" customHeight="1" thickBot="1" x14ac:dyDescent="0.35">
      <c r="A5" s="567" t="s">
        <v>222</v>
      </c>
      <c r="B5" s="567"/>
      <c r="C5" s="323"/>
      <c r="E5" s="15"/>
      <c r="F5" s="15"/>
      <c r="L5" s="15"/>
    </row>
    <row r="6" spans="1:14" ht="15" customHeight="1" x14ac:dyDescent="0.3">
      <c r="A6" s="324" t="s">
        <v>13</v>
      </c>
      <c r="B6" s="335" t="s">
        <v>90</v>
      </c>
      <c r="C6" s="113"/>
      <c r="L6" s="15"/>
    </row>
    <row r="7" spans="1:14" ht="15" customHeight="1" x14ac:dyDescent="0.3">
      <c r="A7" s="326" t="s">
        <v>7</v>
      </c>
      <c r="B7" s="327">
        <v>10000</v>
      </c>
      <c r="D7" s="15"/>
      <c r="E7" s="15"/>
      <c r="F7" s="15"/>
      <c r="L7" s="15"/>
    </row>
    <row r="8" spans="1:14" ht="15" customHeight="1" x14ac:dyDescent="0.3">
      <c r="A8" s="328" t="s">
        <v>8</v>
      </c>
      <c r="B8" s="329">
        <v>1500</v>
      </c>
      <c r="D8" s="15"/>
      <c r="E8" s="15"/>
      <c r="F8" s="15"/>
      <c r="L8" s="15"/>
      <c r="N8" s="15"/>
    </row>
    <row r="9" spans="1:14" ht="15" customHeight="1" x14ac:dyDescent="0.3">
      <c r="A9" s="330" t="s">
        <v>26</v>
      </c>
      <c r="B9" s="331">
        <v>250</v>
      </c>
      <c r="D9" s="15"/>
      <c r="E9" s="15"/>
      <c r="F9" s="15"/>
      <c r="L9" s="15"/>
      <c r="N9" s="15"/>
    </row>
    <row r="10" spans="1:14" ht="15" customHeight="1" thickBot="1" x14ac:dyDescent="0.35">
      <c r="A10" s="332" t="s">
        <v>25</v>
      </c>
      <c r="B10" s="396">
        <v>1.0249999999999999</v>
      </c>
      <c r="C10" s="113"/>
      <c r="L10" s="15"/>
    </row>
    <row r="11" spans="1:14" ht="15" customHeight="1" x14ac:dyDescent="0.3">
      <c r="B11" s="333"/>
      <c r="C11" s="334"/>
      <c r="L11" s="15"/>
      <c r="N11" s="8"/>
    </row>
    <row r="12" spans="1:14" ht="21" customHeight="1" thickBot="1" x14ac:dyDescent="0.35">
      <c r="A12" s="567" t="s">
        <v>38</v>
      </c>
      <c r="B12" s="567"/>
      <c r="C12" s="567"/>
      <c r="D12" s="567"/>
      <c r="L12" s="15"/>
      <c r="N12" s="8"/>
    </row>
    <row r="13" spans="1:14" ht="15" customHeight="1" x14ac:dyDescent="0.3">
      <c r="A13" s="335" t="s">
        <v>90</v>
      </c>
      <c r="C13" s="334"/>
      <c r="L13" s="15"/>
      <c r="N13" s="8"/>
    </row>
    <row r="14" spans="1:14" ht="15" customHeight="1" thickBot="1" x14ac:dyDescent="0.35">
      <c r="A14" s="336">
        <v>2315</v>
      </c>
      <c r="C14" s="334"/>
      <c r="L14" s="15"/>
      <c r="N14" s="8"/>
    </row>
    <row r="15" spans="1:14" ht="15" customHeight="1" x14ac:dyDescent="0.3">
      <c r="B15" s="333"/>
      <c r="C15" s="334"/>
      <c r="K15" s="322"/>
      <c r="L15" s="15"/>
      <c r="N15" s="8"/>
    </row>
    <row r="16" spans="1:14" ht="21" customHeight="1" thickBot="1" x14ac:dyDescent="0.35">
      <c r="A16" s="568" t="s">
        <v>189</v>
      </c>
      <c r="B16" s="568"/>
      <c r="C16" s="568"/>
      <c r="D16" s="568"/>
      <c r="L16" s="15"/>
      <c r="N16" s="8"/>
    </row>
    <row r="17" spans="1:14" ht="15" customHeight="1" x14ac:dyDescent="0.3">
      <c r="A17" s="337"/>
      <c r="B17" s="337"/>
      <c r="C17" s="569" t="s">
        <v>90</v>
      </c>
      <c r="D17" s="569"/>
      <c r="E17" s="338"/>
      <c r="L17" s="15"/>
      <c r="N17" s="8"/>
    </row>
    <row r="18" spans="1:14" ht="15" customHeight="1" x14ac:dyDescent="0.3">
      <c r="A18" s="305" t="s">
        <v>117</v>
      </c>
      <c r="B18" s="305"/>
      <c r="C18" s="376" t="s">
        <v>6</v>
      </c>
      <c r="D18" s="376" t="s">
        <v>245</v>
      </c>
      <c r="E18" s="339"/>
      <c r="L18" s="15"/>
      <c r="N18" s="8"/>
    </row>
    <row r="19" spans="1:14" ht="15" customHeight="1" x14ac:dyDescent="0.3">
      <c r="A19" s="340" t="s">
        <v>121</v>
      </c>
      <c r="B19" s="340"/>
      <c r="C19" s="341">
        <v>0</v>
      </c>
      <c r="D19" s="341">
        <v>0</v>
      </c>
      <c r="E19" s="342"/>
      <c r="K19" s="322"/>
      <c r="L19" s="15"/>
      <c r="N19" s="8"/>
    </row>
    <row r="20" spans="1:14" ht="15" customHeight="1" x14ac:dyDescent="0.3">
      <c r="A20" s="343" t="s">
        <v>122</v>
      </c>
      <c r="B20" s="343"/>
      <c r="C20" s="344">
        <v>0</v>
      </c>
      <c r="D20" s="344">
        <v>0</v>
      </c>
      <c r="E20" s="342"/>
      <c r="L20" s="15"/>
      <c r="N20" s="8"/>
    </row>
    <row r="21" spans="1:14" ht="15" customHeight="1" x14ac:dyDescent="0.3">
      <c r="A21" s="343" t="s">
        <v>123</v>
      </c>
      <c r="B21" s="343"/>
      <c r="C21" s="344">
        <v>0</v>
      </c>
      <c r="D21" s="344">
        <v>700</v>
      </c>
      <c r="E21" s="342"/>
      <c r="L21" s="15"/>
      <c r="N21" s="8"/>
    </row>
    <row r="22" spans="1:14" ht="15" customHeight="1" x14ac:dyDescent="0.3">
      <c r="A22" s="343" t="s">
        <v>124</v>
      </c>
      <c r="B22" s="343"/>
      <c r="C22" s="344">
        <v>0</v>
      </c>
      <c r="D22" s="344">
        <v>700</v>
      </c>
      <c r="E22" s="342"/>
      <c r="L22" s="15"/>
      <c r="N22" s="8"/>
    </row>
    <row r="23" spans="1:14" ht="15" customHeight="1" x14ac:dyDescent="0.3">
      <c r="A23" s="345" t="s">
        <v>91</v>
      </c>
      <c r="B23" s="345"/>
      <c r="C23" s="346">
        <v>200</v>
      </c>
      <c r="D23" s="346">
        <v>900</v>
      </c>
      <c r="E23" s="342"/>
      <c r="L23" s="15"/>
      <c r="N23" s="8"/>
    </row>
    <row r="24" spans="1:14" ht="15" customHeight="1" x14ac:dyDescent="0.3">
      <c r="A24" s="343" t="s">
        <v>92</v>
      </c>
      <c r="B24" s="343"/>
      <c r="C24" s="344">
        <v>400</v>
      </c>
      <c r="D24" s="344">
        <v>1100</v>
      </c>
      <c r="E24" s="342"/>
      <c r="L24" s="15"/>
      <c r="N24" s="8"/>
    </row>
    <row r="25" spans="1:14" ht="15" customHeight="1" x14ac:dyDescent="0.3">
      <c r="A25" s="343" t="s">
        <v>98</v>
      </c>
      <c r="B25" s="343"/>
      <c r="C25" s="344">
        <v>400</v>
      </c>
      <c r="D25" s="344">
        <v>1100</v>
      </c>
      <c r="E25" s="342"/>
      <c r="L25" s="15"/>
      <c r="N25" s="8"/>
    </row>
    <row r="26" spans="1:14" ht="15" customHeight="1" x14ac:dyDescent="0.3">
      <c r="A26" s="343" t="s">
        <v>93</v>
      </c>
      <c r="B26" s="343"/>
      <c r="C26" s="344">
        <v>200</v>
      </c>
      <c r="D26" s="344">
        <v>900</v>
      </c>
      <c r="E26" s="342"/>
      <c r="L26" s="15"/>
      <c r="N26" s="8"/>
    </row>
    <row r="27" spans="1:14" ht="15" customHeight="1" x14ac:dyDescent="0.3">
      <c r="A27" s="343" t="s">
        <v>95</v>
      </c>
      <c r="B27" s="343"/>
      <c r="C27" s="344">
        <v>200</v>
      </c>
      <c r="D27" s="344">
        <v>900</v>
      </c>
      <c r="E27" s="342"/>
      <c r="L27" s="15"/>
      <c r="N27" s="8"/>
    </row>
    <row r="28" spans="1:14" ht="15" customHeight="1" x14ac:dyDescent="0.3">
      <c r="A28" s="343" t="s">
        <v>125</v>
      </c>
      <c r="B28" s="343"/>
      <c r="C28" s="344">
        <v>0</v>
      </c>
      <c r="D28" s="344">
        <v>700</v>
      </c>
      <c r="E28" s="342"/>
      <c r="L28" s="15"/>
      <c r="N28" s="8"/>
    </row>
    <row r="29" spans="1:14" ht="15" customHeight="1" x14ac:dyDescent="0.3">
      <c r="A29" s="343" t="s">
        <v>126</v>
      </c>
      <c r="B29" s="343"/>
      <c r="C29" s="344">
        <v>0</v>
      </c>
      <c r="D29" s="344">
        <v>700</v>
      </c>
      <c r="E29" s="342"/>
      <c r="L29" s="15"/>
      <c r="N29" s="8"/>
    </row>
    <row r="30" spans="1:14" ht="15.75" customHeight="1" x14ac:dyDescent="0.3">
      <c r="A30" s="347" t="s">
        <v>100</v>
      </c>
      <c r="B30" s="347"/>
      <c r="C30" s="344">
        <v>3500</v>
      </c>
      <c r="D30" s="344">
        <v>4200</v>
      </c>
      <c r="E30" s="342"/>
      <c r="L30" s="15"/>
      <c r="N30" s="8"/>
    </row>
    <row r="31" spans="1:14" ht="15" customHeight="1" x14ac:dyDescent="0.3">
      <c r="A31" s="347" t="s">
        <v>101</v>
      </c>
      <c r="B31" s="347"/>
      <c r="C31" s="344">
        <v>3500</v>
      </c>
      <c r="D31" s="344">
        <v>4200</v>
      </c>
      <c r="E31" s="342"/>
      <c r="L31" s="15"/>
      <c r="N31" s="8"/>
    </row>
    <row r="32" spans="1:14" ht="15" customHeight="1" x14ac:dyDescent="0.3">
      <c r="A32" s="347" t="s">
        <v>127</v>
      </c>
      <c r="B32" s="347"/>
      <c r="C32" s="344">
        <v>0</v>
      </c>
      <c r="D32" s="344">
        <v>700</v>
      </c>
      <c r="E32" s="342"/>
      <c r="L32" s="15"/>
      <c r="N32" s="8"/>
    </row>
    <row r="33" spans="1:14" ht="15" customHeight="1" x14ac:dyDescent="0.3">
      <c r="A33" s="347" t="s">
        <v>99</v>
      </c>
      <c r="B33" s="347"/>
      <c r="C33" s="344">
        <v>1200</v>
      </c>
      <c r="D33" s="344">
        <v>1900</v>
      </c>
      <c r="E33" s="342"/>
      <c r="K33" s="322"/>
      <c r="L33" s="15"/>
      <c r="N33" s="8"/>
    </row>
    <row r="34" spans="1:14" ht="15" customHeight="1" x14ac:dyDescent="0.3">
      <c r="A34" s="343" t="s">
        <v>94</v>
      </c>
      <c r="B34" s="343"/>
      <c r="C34" s="344">
        <v>1200</v>
      </c>
      <c r="D34" s="344">
        <v>1900</v>
      </c>
      <c r="E34" s="342"/>
      <c r="K34" s="322"/>
      <c r="L34" s="15"/>
      <c r="N34" s="8"/>
    </row>
    <row r="35" spans="1:14" ht="15" customHeight="1" x14ac:dyDescent="0.3">
      <c r="A35" s="343" t="s">
        <v>96</v>
      </c>
      <c r="B35" s="343"/>
      <c r="C35" s="344">
        <v>1200</v>
      </c>
      <c r="D35" s="344">
        <v>1900</v>
      </c>
      <c r="E35" s="342"/>
      <c r="L35" s="15"/>
      <c r="N35" s="8"/>
    </row>
    <row r="36" spans="1:14" ht="15" customHeight="1" thickBot="1" x14ac:dyDescent="0.35">
      <c r="A36" s="348" t="s">
        <v>97</v>
      </c>
      <c r="B36" s="348"/>
      <c r="C36" s="349">
        <v>200</v>
      </c>
      <c r="D36" s="349">
        <v>900</v>
      </c>
      <c r="E36" s="342"/>
      <c r="L36" s="15"/>
      <c r="N36" s="8"/>
    </row>
    <row r="37" spans="1:14" ht="15" customHeight="1" x14ac:dyDescent="0.3">
      <c r="A37" s="350"/>
      <c r="B37" s="351"/>
      <c r="C37" s="352"/>
      <c r="D37" s="63"/>
      <c r="K37" s="322"/>
      <c r="L37" s="15"/>
      <c r="N37" s="8"/>
    </row>
    <row r="38" spans="1:14" ht="15" customHeight="1" x14ac:dyDescent="0.3">
      <c r="A38" s="353"/>
      <c r="B38" s="342"/>
      <c r="C38" s="354"/>
      <c r="D38" s="113"/>
      <c r="K38" s="322"/>
      <c r="L38" s="15"/>
      <c r="N38" s="8"/>
    </row>
    <row r="39" spans="1:14" ht="21" customHeight="1" thickBot="1" x14ac:dyDescent="0.35">
      <c r="A39" s="567" t="s">
        <v>48</v>
      </c>
      <c r="B39" s="567"/>
      <c r="C39" s="567"/>
      <c r="D39" s="355"/>
      <c r="E39" s="355"/>
      <c r="F39" s="355"/>
      <c r="G39" s="356"/>
      <c r="H39" s="356"/>
      <c r="I39" s="356"/>
      <c r="J39" s="356"/>
      <c r="K39" s="356"/>
      <c r="L39" s="15"/>
    </row>
    <row r="40" spans="1:14" ht="15" customHeight="1" x14ac:dyDescent="0.3">
      <c r="A40" s="324" t="s">
        <v>13</v>
      </c>
      <c r="B40" s="325" t="s">
        <v>5</v>
      </c>
      <c r="C40" s="335" t="s">
        <v>90</v>
      </c>
      <c r="D40" s="355"/>
      <c r="E40" s="355"/>
      <c r="F40" s="355"/>
      <c r="G40" s="356"/>
      <c r="H40" s="356"/>
      <c r="I40" s="356"/>
      <c r="J40" s="356"/>
      <c r="K40" s="356"/>
    </row>
    <row r="41" spans="1:14" ht="15" customHeight="1" thickBot="1" x14ac:dyDescent="0.35">
      <c r="A41" s="357" t="s">
        <v>276</v>
      </c>
      <c r="B41" s="358" t="s">
        <v>275</v>
      </c>
      <c r="C41" s="359">
        <v>1100</v>
      </c>
      <c r="D41" s="355"/>
      <c r="E41" s="355"/>
      <c r="F41" s="355"/>
      <c r="G41" s="356"/>
      <c r="H41" s="356"/>
      <c r="I41" s="356"/>
      <c r="J41" s="356"/>
      <c r="K41" s="7"/>
    </row>
    <row r="42" spans="1:14" ht="15" customHeight="1" x14ac:dyDescent="0.3">
      <c r="A42" s="15"/>
      <c r="B42" s="360"/>
      <c r="C42" s="361"/>
      <c r="D42" s="355"/>
      <c r="E42" s="355"/>
      <c r="F42" s="355"/>
      <c r="G42" s="356"/>
      <c r="H42" s="356"/>
      <c r="I42" s="356"/>
      <c r="J42" s="356"/>
      <c r="K42" s="362"/>
    </row>
    <row r="43" spans="1:14" ht="21" customHeight="1" thickBot="1" x14ac:dyDescent="0.35">
      <c r="A43" s="567" t="s">
        <v>28</v>
      </c>
      <c r="B43" s="567"/>
      <c r="C43" s="567"/>
      <c r="D43" s="355"/>
      <c r="E43" s="355"/>
      <c r="F43" s="355"/>
      <c r="G43" s="356"/>
      <c r="H43" s="356"/>
      <c r="I43" s="356"/>
      <c r="J43" s="356"/>
      <c r="K43" s="356"/>
    </row>
    <row r="44" spans="1:14" ht="15" customHeight="1" x14ac:dyDescent="0.3">
      <c r="A44" s="324" t="s">
        <v>13</v>
      </c>
      <c r="B44" s="335" t="s">
        <v>90</v>
      </c>
      <c r="C44" s="361"/>
      <c r="D44" s="355"/>
      <c r="E44" s="355"/>
      <c r="F44" s="355"/>
      <c r="G44" s="356"/>
      <c r="H44" s="356"/>
      <c r="I44" s="356"/>
      <c r="J44" s="356"/>
      <c r="K44" s="356"/>
    </row>
    <row r="45" spans="1:14" ht="15" customHeight="1" x14ac:dyDescent="0.3">
      <c r="A45" s="363" t="s">
        <v>8</v>
      </c>
      <c r="B45" s="364">
        <v>1108.09302</v>
      </c>
      <c r="C45" s="361"/>
      <c r="D45" s="355"/>
      <c r="E45" s="355"/>
      <c r="F45" s="355"/>
      <c r="G45" s="356"/>
      <c r="H45" s="356"/>
      <c r="I45" s="356"/>
      <c r="J45" s="356"/>
      <c r="K45" s="356"/>
    </row>
    <row r="46" spans="1:14" ht="15" customHeight="1" thickBot="1" x14ac:dyDescent="0.35">
      <c r="A46" s="365" t="s">
        <v>36</v>
      </c>
      <c r="B46" s="366">
        <v>847.36524999999995</v>
      </c>
      <c r="C46" s="361"/>
      <c r="D46" s="355"/>
      <c r="E46" s="355"/>
      <c r="F46" s="355"/>
      <c r="G46" s="356"/>
      <c r="H46" s="356"/>
      <c r="I46" s="356"/>
      <c r="J46" s="356"/>
      <c r="K46" s="356"/>
    </row>
    <row r="47" spans="1:14" ht="15" customHeight="1" x14ac:dyDescent="0.3">
      <c r="A47" s="363"/>
      <c r="B47" s="364"/>
      <c r="C47" s="361"/>
      <c r="D47" s="355"/>
      <c r="E47" s="355"/>
      <c r="F47" s="355"/>
      <c r="G47" s="356"/>
      <c r="H47" s="356"/>
      <c r="I47" s="356"/>
      <c r="J47" s="356"/>
      <c r="K47" s="356"/>
    </row>
    <row r="48" spans="1:14" ht="21" customHeight="1" thickBot="1" x14ac:dyDescent="0.35">
      <c r="A48" s="567" t="s">
        <v>223</v>
      </c>
      <c r="B48" s="567"/>
      <c r="C48" s="567"/>
      <c r="D48" s="567"/>
      <c r="E48" s="355"/>
      <c r="F48" s="355"/>
      <c r="G48" s="356"/>
      <c r="H48" s="356"/>
      <c r="I48" s="356"/>
      <c r="J48" s="356"/>
      <c r="K48" s="356"/>
    </row>
    <row r="49" spans="1:12" ht="15" customHeight="1" x14ac:dyDescent="0.3">
      <c r="A49" s="324" t="s">
        <v>13</v>
      </c>
      <c r="B49" s="335" t="s">
        <v>90</v>
      </c>
      <c r="C49" s="361"/>
      <c r="D49" s="355"/>
      <c r="E49" s="355"/>
      <c r="F49" s="355"/>
      <c r="G49" s="356"/>
      <c r="H49" s="356"/>
      <c r="I49" s="356"/>
      <c r="J49" s="356"/>
      <c r="K49" s="356"/>
    </row>
    <row r="50" spans="1:12" ht="15" customHeight="1" x14ac:dyDescent="0.3">
      <c r="A50" s="367" t="s">
        <v>8</v>
      </c>
      <c r="B50" s="368">
        <v>1438.56954</v>
      </c>
      <c r="C50" s="361"/>
      <c r="D50" s="355"/>
      <c r="E50" s="355"/>
      <c r="F50" s="355"/>
      <c r="G50" s="356"/>
      <c r="H50" s="356"/>
      <c r="I50" s="356"/>
      <c r="J50" s="356"/>
      <c r="K50" s="356"/>
    </row>
    <row r="51" spans="1:12" ht="15" customHeight="1" x14ac:dyDescent="0.3">
      <c r="A51" s="369" t="s">
        <v>36</v>
      </c>
      <c r="B51" s="370">
        <v>1100.08259</v>
      </c>
      <c r="C51" s="361"/>
      <c r="D51" s="355"/>
      <c r="E51" s="355"/>
      <c r="F51" s="355"/>
      <c r="G51" s="356"/>
      <c r="H51" s="356"/>
      <c r="I51" s="356"/>
      <c r="J51" s="356"/>
      <c r="K51" s="356"/>
    </row>
    <row r="52" spans="1:12" ht="15" customHeight="1" thickBot="1" x14ac:dyDescent="0.35">
      <c r="A52" s="365" t="s">
        <v>9</v>
      </c>
      <c r="B52" s="366">
        <v>846.21738000000005</v>
      </c>
      <c r="C52" s="361"/>
      <c r="D52" s="355"/>
      <c r="E52" s="355"/>
      <c r="F52" s="355"/>
      <c r="G52" s="356"/>
      <c r="H52" s="356"/>
      <c r="I52" s="356"/>
      <c r="J52" s="356"/>
      <c r="K52" s="356"/>
    </row>
    <row r="53" spans="1:12" ht="15" customHeight="1" x14ac:dyDescent="0.3">
      <c r="A53" s="363"/>
      <c r="B53" s="364"/>
      <c r="C53" s="361"/>
      <c r="D53" s="355"/>
      <c r="E53" s="355"/>
      <c r="F53" s="355"/>
      <c r="G53" s="356"/>
      <c r="H53" s="356"/>
      <c r="I53" s="356"/>
      <c r="J53" s="356"/>
      <c r="K53" s="356"/>
    </row>
    <row r="54" spans="1:12" ht="21" customHeight="1" thickBot="1" x14ac:dyDescent="0.35">
      <c r="A54" s="567" t="s">
        <v>37</v>
      </c>
      <c r="B54" s="567"/>
      <c r="C54" s="567"/>
      <c r="D54" s="355"/>
      <c r="E54" s="355"/>
      <c r="F54" s="355"/>
      <c r="G54" s="356"/>
      <c r="H54" s="356"/>
      <c r="I54" s="356"/>
      <c r="J54" s="356"/>
      <c r="K54" s="356"/>
      <c r="L54" s="15"/>
    </row>
    <row r="55" spans="1:12" ht="15" customHeight="1" x14ac:dyDescent="0.3">
      <c r="A55" s="324" t="s">
        <v>13</v>
      </c>
      <c r="B55" s="335" t="s">
        <v>90</v>
      </c>
      <c r="C55" s="361"/>
      <c r="D55" s="355"/>
      <c r="E55" s="355"/>
      <c r="G55" s="371"/>
      <c r="H55" s="371"/>
      <c r="I55" s="371"/>
      <c r="J55" s="371"/>
      <c r="K55" s="371"/>
      <c r="L55" s="372"/>
    </row>
    <row r="56" spans="1:12" ht="15" customHeight="1" x14ac:dyDescent="0.3">
      <c r="A56" s="367" t="s">
        <v>7</v>
      </c>
      <c r="B56" s="368" t="s">
        <v>318</v>
      </c>
      <c r="C56" s="361"/>
      <c r="D56" s="355"/>
      <c r="E56" s="355"/>
      <c r="G56" s="44"/>
      <c r="H56" s="44"/>
      <c r="I56" s="44"/>
      <c r="J56" s="44"/>
      <c r="K56" s="44"/>
      <c r="L56" s="372"/>
    </row>
    <row r="57" spans="1:12" ht="15" customHeight="1" x14ac:dyDescent="0.3">
      <c r="A57" s="369" t="s">
        <v>8</v>
      </c>
      <c r="B57" s="370" t="s">
        <v>318</v>
      </c>
      <c r="C57" s="361"/>
      <c r="D57" s="355"/>
      <c r="E57" s="355"/>
      <c r="G57" s="44"/>
      <c r="H57" s="44"/>
      <c r="I57" s="44"/>
      <c r="J57" s="44"/>
      <c r="K57" s="44"/>
      <c r="L57" s="372"/>
    </row>
    <row r="58" spans="1:12" ht="15" customHeight="1" x14ac:dyDescent="0.3">
      <c r="A58" s="373" t="s">
        <v>36</v>
      </c>
      <c r="B58" s="370" t="s">
        <v>318</v>
      </c>
      <c r="C58" s="361"/>
      <c r="D58" s="355"/>
      <c r="E58" s="355"/>
      <c r="G58" s="44"/>
      <c r="H58" s="44"/>
      <c r="I58" s="44"/>
      <c r="J58" s="44"/>
      <c r="K58" s="44"/>
      <c r="L58" s="372"/>
    </row>
    <row r="59" spans="1:12" ht="15" customHeight="1" thickBot="1" x14ac:dyDescent="0.35">
      <c r="A59" s="374" t="s">
        <v>9</v>
      </c>
      <c r="B59" s="366" t="s">
        <v>318</v>
      </c>
      <c r="C59" s="361"/>
      <c r="D59" s="355"/>
      <c r="E59" s="355"/>
      <c r="G59" s="44"/>
      <c r="H59" s="44"/>
      <c r="I59" s="44"/>
      <c r="J59" s="44"/>
      <c r="K59" s="44"/>
      <c r="L59" s="372"/>
    </row>
    <row r="60" spans="1:12" ht="15" customHeight="1" x14ac:dyDescent="0.3">
      <c r="A60" s="15"/>
      <c r="C60" s="15"/>
      <c r="D60" s="15"/>
      <c r="E60" s="15"/>
      <c r="F60" s="15"/>
    </row>
    <row r="61" spans="1:12" ht="15" customHeight="1" x14ac:dyDescent="0.3">
      <c r="B61" s="501"/>
    </row>
  </sheetData>
  <sortState xmlns:xlrd2="http://schemas.microsoft.com/office/spreadsheetml/2017/richdata2" ref="B29:B39">
    <sortCondition ref="B29"/>
  </sortState>
  <mergeCells count="10">
    <mergeCell ref="A3:E3"/>
    <mergeCell ref="A1:G1"/>
    <mergeCell ref="A48:D48"/>
    <mergeCell ref="A5:B5"/>
    <mergeCell ref="A12:D12"/>
    <mergeCell ref="A54:C54"/>
    <mergeCell ref="A43:C43"/>
    <mergeCell ref="A39:C39"/>
    <mergeCell ref="A16:D16"/>
    <mergeCell ref="C17:D17"/>
  </mergeCells>
  <phoneticPr fontId="0" type="noConversion"/>
  <hyperlinks>
    <hyperlink ref="A5" location="'B High-cost'!A1" display="High-cost subject funding" xr:uid="{00000000-0004-0000-0800-000000000000}"/>
    <hyperlink ref="A12" location="'D Erasmus+'!A1" display="Erasmus+ and overseas study programmes" xr:uid="{00000000-0004-0000-0800-000001000000}"/>
    <hyperlink ref="A16" location="'E Health supplement'!A1" display="Nursing and allied health supplement" xr:uid="{00000000-0004-0000-0800-000002000000}"/>
    <hyperlink ref="A39" location="PGTS_TA" display="Postgraduate taught supplement" xr:uid="{00000000-0004-0000-0800-000003000000}"/>
    <hyperlink ref="A43" location="INT_TA" display="Intensive postgraduate provision" xr:uid="{00000000-0004-0000-0800-000004000000}"/>
    <hyperlink ref="A48" location="ACCL_TA" display="Accelerated full-time undergraduate provision" xr:uid="{00000000-0004-0000-0800-000005000000}"/>
    <hyperlink ref="A54" location="LOND_TA" display="Students attending courses in London" xr:uid="{00000000-0004-0000-0800-000006000000}"/>
    <hyperlink ref="A5:B5" location="HIGHCOST" display="High-cost subject funding" xr:uid="{00000000-0004-0000-0800-000007000000}"/>
    <hyperlink ref="A12:C12" location="ERAS_TA" display="Erasmus+ and overseas study programmes" xr:uid="{00000000-0004-0000-0800-000008000000}"/>
    <hyperlink ref="A16:D16" location="HEALTH_TA" display="Nursing and allied health supplement" xr:uid="{00000000-0004-0000-0800-000009000000}"/>
  </hyperlinks>
  <pageMargins left="0.70866141732283472" right="0.70866141732283472" top="0.74803149606299213" bottom="0.74803149606299213" header="0.31496062992125984" footer="0.31496062992125984"/>
  <pageSetup paperSize="9" scale="55" orientation="landscape" r:id="rId1"/>
  <headerFooter>
    <oddHeader>&amp;CPage &amp;P&amp;R&amp;F</oddHeader>
  </headerFooter>
  <ignoredErrors>
    <ignoredError sqref="A2:H2 A4:H9 B3:H3 A19:H40 A18:C18 E18:H18 A42:H44 A11:H17 A10 C10:H10 C41:H41 A1:G1 A47:H49 A45 C45:H45 A46 C46:H46 A53:H55 A50 C50:H50 A51 C51:H51 A52 C52:H52 A60:H60 A56 C56:H56 A57 C57:H57 A58 C58:H58 A59 C59:H5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92</vt:i4>
      </vt:variant>
    </vt:vector>
  </HeadingPairs>
  <TitlesOfParts>
    <vt:vector size="101" baseType="lpstr">
      <vt:lpstr>Information</vt:lpstr>
      <vt:lpstr>A Summary</vt:lpstr>
      <vt:lpstr>B High-cost</vt:lpstr>
      <vt:lpstr>C Student premium</vt:lpstr>
      <vt:lpstr>D Erasmus+</vt:lpstr>
      <vt:lpstr>E NMAH supplement</vt:lpstr>
      <vt:lpstr>F Very high-cost STEM subjects</vt:lpstr>
      <vt:lpstr>G Other TAs</vt:lpstr>
      <vt:lpstr>H Parameters</vt:lpstr>
      <vt:lpstr>A_datacols1</vt:lpstr>
      <vt:lpstr>A_datacols2</vt:lpstr>
      <vt:lpstr>A_hidecols</vt:lpstr>
      <vt:lpstr>A_rowtags1</vt:lpstr>
      <vt:lpstr>A_rowtags2</vt:lpstr>
      <vt:lpstr>A_rowtags3</vt:lpstr>
      <vt:lpstr>A_rowvars</vt:lpstr>
      <vt:lpstr>ACCL_TA</vt:lpstr>
      <vt:lpstr>B_datacols1</vt:lpstr>
      <vt:lpstr>B_datacols2</vt:lpstr>
      <vt:lpstr>B_rowtags</vt:lpstr>
      <vt:lpstr>B_rowvars</vt:lpstr>
      <vt:lpstr>C_datacols</vt:lpstr>
      <vt:lpstr>C_rowtags1</vt:lpstr>
      <vt:lpstr>C_rowtags11</vt:lpstr>
      <vt:lpstr>C_rowtags12</vt:lpstr>
      <vt:lpstr>C_rowtags13</vt:lpstr>
      <vt:lpstr>C_rowtags15</vt:lpstr>
      <vt:lpstr>C_rowtags16</vt:lpstr>
      <vt:lpstr>C_rowtags2</vt:lpstr>
      <vt:lpstr>C_rowtags4</vt:lpstr>
      <vt:lpstr>C_rowtags5</vt:lpstr>
      <vt:lpstr>C_rowtags6</vt:lpstr>
      <vt:lpstr>C_rowtags8</vt:lpstr>
      <vt:lpstr>C_rowtags9</vt:lpstr>
      <vt:lpstr>C_rowvars</vt:lpstr>
      <vt:lpstr>D_coltags1</vt:lpstr>
      <vt:lpstr>D_coltags2</vt:lpstr>
      <vt:lpstr>D_coltags3</vt:lpstr>
      <vt:lpstr>D_colvars</vt:lpstr>
      <vt:lpstr>D_datacols</vt:lpstr>
      <vt:lpstr>D_rowtags</vt:lpstr>
      <vt:lpstr>D_rowvars</vt:lpstr>
      <vt:lpstr>DATE</vt:lpstr>
      <vt:lpstr>DENINTAR</vt:lpstr>
      <vt:lpstr>DENINTAR_ISOV</vt:lpstr>
      <vt:lpstr>DIS_WHCOUNT</vt:lpstr>
      <vt:lpstr>DISABLED</vt:lpstr>
      <vt:lpstr>E_coltags1</vt:lpstr>
      <vt:lpstr>E_coltags2</vt:lpstr>
      <vt:lpstr>E_coltags3</vt:lpstr>
      <vt:lpstr>E_colvars</vt:lpstr>
      <vt:lpstr>E_datacols</vt:lpstr>
      <vt:lpstr>E_rowtags</vt:lpstr>
      <vt:lpstr>E_rowvars</vt:lpstr>
      <vt:lpstr>ERAS_TA</vt:lpstr>
      <vt:lpstr>F_datacols</vt:lpstr>
      <vt:lpstr>F_rowtags1</vt:lpstr>
      <vt:lpstr>F_rowtags2</vt:lpstr>
      <vt:lpstr>F_rowvars</vt:lpstr>
      <vt:lpstr>G_datacols1</vt:lpstr>
      <vt:lpstr>G_datacols2</vt:lpstr>
      <vt:lpstr>G_rowtags</vt:lpstr>
      <vt:lpstr>G_rowvars</vt:lpstr>
      <vt:lpstr>H_datacols</vt:lpstr>
      <vt:lpstr>H_rowtags</vt:lpstr>
      <vt:lpstr>H_rowvars</vt:lpstr>
      <vt:lpstr>HEALTH_TA</vt:lpstr>
      <vt:lpstr>HIGHCOST</vt:lpstr>
      <vt:lpstr>INT_TA</vt:lpstr>
      <vt:lpstr>LOND_TA</vt:lpstr>
      <vt:lpstr>MEDINTAR</vt:lpstr>
      <vt:lpstr>MEDINTAR_ISOV</vt:lpstr>
      <vt:lpstr>PGTS_TA</vt:lpstr>
      <vt:lpstr>'A Summary'!Print_Area</vt:lpstr>
      <vt:lpstr>'B High-cost'!Print_Area</vt:lpstr>
      <vt:lpstr>'C Student premium'!Print_Area</vt:lpstr>
      <vt:lpstr>'D Erasmus+'!Print_Area</vt:lpstr>
      <vt:lpstr>'E NMAH supplement'!Print_Area</vt:lpstr>
      <vt:lpstr>'F Very high-cost STEM subjects'!Print_Area</vt:lpstr>
      <vt:lpstr>'G Other TAs'!Print_Area</vt:lpstr>
      <vt:lpstr>'H Parameters'!Print_Area</vt:lpstr>
      <vt:lpstr>Information!Print_Area</vt:lpstr>
      <vt:lpstr>'G Other TAs'!Print_Titles</vt:lpstr>
      <vt:lpstr>PRORATA</vt:lpstr>
      <vt:lpstr>PROVIDER</vt:lpstr>
      <vt:lpstr>SP_FT</vt:lpstr>
      <vt:lpstr>SP_PT</vt:lpstr>
      <vt:lpstr>SPDISPOP</vt:lpstr>
      <vt:lpstr>SPDSAALLOC</vt:lpstr>
      <vt:lpstr>SPSDALLOC</vt:lpstr>
      <vt:lpstr>SPSECTORFLAG</vt:lpstr>
      <vt:lpstr>TABLEA</vt:lpstr>
      <vt:lpstr>TABLEB</vt:lpstr>
      <vt:lpstr>TABLEC</vt:lpstr>
      <vt:lpstr>TABLED</vt:lpstr>
      <vt:lpstr>TABLEE</vt:lpstr>
      <vt:lpstr>TABLEF</vt:lpstr>
      <vt:lpstr>TABLEG</vt:lpstr>
      <vt:lpstr>TABLEH</vt:lpstr>
      <vt:lpstr>UKPRN</vt:lpstr>
      <vt:lpstr>VHCSS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Cowley [7457]</dc:creator>
  <cp:lastModifiedBy>Sioned Forwood [7329]</cp:lastModifiedBy>
  <cp:lastPrinted>2020-07-06T15:05:22Z</cp:lastPrinted>
  <dcterms:created xsi:type="dcterms:W3CDTF">1998-01-04T14:28:05Z</dcterms:created>
  <dcterms:modified xsi:type="dcterms:W3CDTF">2020-07-27T10:05:08Z</dcterms:modified>
</cp:coreProperties>
</file>